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uladora" sheetId="1" r:id="rId4"/>
    <sheet state="visible" name="Cuadro comparativo" sheetId="2" r:id="rId5"/>
    <sheet state="visible" name="Notas y fuentes" sheetId="3" r:id="rId6"/>
  </sheets>
  <definedNames/>
  <calcPr/>
  <extLst>
    <ext uri="GoogleSheetsCustomDataVersion2">
      <go:sheetsCustomData xmlns:go="http://customooxmlschemas.google.com/" r:id="rId7" roundtripDataChecksum="1aO5FmamcUsdFArpFa9SOT6s95pQBtpCYL6P5qMh1KQ="/>
    </ext>
  </extLst>
</workbook>
</file>

<file path=xl/sharedStrings.xml><?xml version="1.0" encoding="utf-8"?>
<sst xmlns="http://schemas.openxmlformats.org/spreadsheetml/2006/main" count="71" uniqueCount="71">
  <si>
    <t>¿Amortizar hipoteca o invertir la diferencia?</t>
  </si>
  <si>
    <t>Notas, supuestos y fuentes</t>
  </si>
  <si>
    <t>Calculadora educativa · landersanvicente.com — rellena solo las celdas en amarillo</t>
  </si>
  <si>
    <t>Capitalización anual</t>
  </si>
  <si>
    <t>1) TUS DATOS DE HIPOTECA</t>
  </si>
  <si>
    <t>El cuadro comparativo calcula la hipoteca con cuotas y capitalización anuales, como simplificación del cuadro de amortización real del banco (mensual). Para comparar a largo plazo amortizar vs. invertir, la diferencia frente al cálculo mensual es mínima.</t>
  </si>
  <si>
    <t>Cálculos auxiliares (no editar)</t>
  </si>
  <si>
    <t>Deducción fiscal — Bizkaia / Álava / Gipuzkoa</t>
  </si>
  <si>
    <t>Capital pendiente de amortizar (€)</t>
  </si>
  <si>
    <t>Deducción por adquisición de vivienda habitual: 18% general / 23% para menores de 35 años, con una base máxima anual deducible de 8.500€. Cifras según normativa foral vigente (mismos parámetros usados en la calculadora EPSV vs. indexado y en la calculadora de amortización de landersanvicente.com). Verifica siempre la normativa foral en vigor, ya que estos importes pueden actualizarse cada año.</t>
  </si>
  <si>
    <t>Deducción fiscal — Territorio común</t>
  </si>
  <si>
    <t>La deducción por inversión en vivienda habitual solo se mantiene, en régimen transitorio, para compras anteriores al 1 de enero de 2013: 15% con una base máxima anual deducible de 9.040€. Las compras posteriores a esa fecha no tienen deducción estatal.</t>
  </si>
  <si>
    <t>Prorrateo de la deducción</t>
  </si>
  <si>
    <t>Si tu pago anual de hipoteca (cuota × 12) es inferior a la base máxima deducible de tu territorio, la deducción efectiva se prorratea sobre lo que realmente pagas, no sobre el máximo teórico.</t>
  </si>
  <si>
    <t>Fiscalidad de la plusvalía al invertir</t>
  </si>
  <si>
    <t>La ganancia al rescatar un fondo indexado tributa en la base del ahorro del IRPF: 19% hasta 6.000€, 21% de 6.000€ a 50.000€, 23% de 50.000€ a 200.000€, 27% de 200.000€ a 300.000€ y 30% a partir de 300.000€ (tramos 2025-2026). La calculadora usa un único % plano editable como simplificación — ajusta la celda D18 de la pestaña Calculadora a tu tramo real si tu ganancia es grande.</t>
  </si>
  <si>
    <t>Años pendientes de hipoteca (máx. 40)</t>
  </si>
  <si>
    <t>Regla rápida vs. cálculo exacto</t>
  </si>
  <si>
    <t>La 'rentabilidad bruta mínima para que compense invertir' es una aproximación (coste efectivo de la hipoteca dividido entre 1 menos la fiscalidad, más la comisión). El cuadro año a año de la pestaña 'Cuadro comparativo' es el cálculo riguroso y siempre debe prevalecer si ambos difieren.</t>
  </si>
  <si>
    <t>Qué no incluye esta calculadora</t>
  </si>
  <si>
    <t>No considera comisión de amortización anticipada del banco (en España, limitada por ley a un máximo del 2% el primer año y 1,5% después, y a menudo 0% en hipotecas actuales — revisa tu escritura). Tampoco considera el uso alternativo del efectivo liberado mes a mes si reduces cuota, ni la fiscalidad diferida (en la realidad, con un fondo indexado no pagas impuestos hasta que reembolsas; aquí se muestra el impuesto como si liquidases cada año, para poder comparar año a año).</t>
  </si>
  <si>
    <t>Naturaleza de esta herramienta</t>
  </si>
  <si>
    <t>Este Excel es contenido educativo de landersanvicente.com, no asesoramiento financiero ni fiscal personalizado. Antes de tomar una decisión, contrasta tu caso concreto con un profesional.</t>
  </si>
  <si>
    <t>Cuota anual actual (capitaliz. anual)</t>
  </si>
  <si>
    <t>TIN — tipo de interés nominal anual (%)</t>
  </si>
  <si>
    <t>Cuota anual si reduces cuota</t>
  </si>
  <si>
    <t>Territorio fiscal</t>
  </si>
  <si>
    <t>Bizkaia</t>
  </si>
  <si>
    <t>Pago anual actual</t>
  </si>
  <si>
    <t>Edad (solo aplica en Bizkaia / Álava / Gipuzkoa)</t>
  </si>
  <si>
    <t>35 años o más</t>
  </si>
  <si>
    <t>% deducción efectiva (prorrateada)</t>
  </si>
  <si>
    <t>2) IMPORTE EXTRA Y QUÉ HACER SI AMORTIZAS</t>
  </si>
  <si>
    <t>Importe extra disponible ahora mismo (€)</t>
  </si>
  <si>
    <t>Si amortizas, ¿qué reduces?</t>
  </si>
  <si>
    <t>Reducir plazo</t>
  </si>
  <si>
    <t>Se recomienda reducir plazo pero mira tu caso antes</t>
  </si>
  <si>
    <t>3) SI EN VEZ DE AMORTIZAR, INVIERTES</t>
  </si>
  <si>
    <t>Rentabilidad bruta anual esperada (%)</t>
  </si>
  <si>
    <t>7% sería algo moderado, un 10% si es un fondo algo más arriesgado y 4% sería conservador</t>
  </si>
  <si>
    <t>Comisión anual del fondo — TER (%)</t>
  </si>
  <si>
    <t>Algo estándar podría ser 0,10%. Puedes poner 0,30% si quieres "ponerte en lo peor"</t>
  </si>
  <si>
    <t>Fiscalidad sobre la plusvalía al rescatar (%)</t>
  </si>
  <si>
    <t>4) RESULTADOS</t>
  </si>
  <si>
    <t>Cuota mensual actual de tu hipoteca (antes del extra)</t>
  </si>
  <si>
    <t>Base máxima anual deducible según tu territorio (€)</t>
  </si>
  <si>
    <t>% deducción fiscal que te aplica</t>
  </si>
  <si>
    <t>Coste efectivo real de tu hipoteca (TIN neto de deducción)</t>
  </si>
  <si>
    <t>Cuadro comparativo año a año — capitalización anual (simplificación)</t>
  </si>
  <si>
    <t>Rentabilidad neta anual estimada de la inversión (tras comisión)</t>
  </si>
  <si>
    <t>Regla rápida: rentabilidad bruta mínima para que compense invertir</t>
  </si>
  <si>
    <t>Año</t>
  </si>
  <si>
    <t>Saldo inicial
(original)</t>
  </si>
  <si>
    <t>Interés
(original)</t>
  </si>
  <si>
    <t>Saldo final
(original)</t>
  </si>
  <si>
    <t>Interés acum.
(original)</t>
  </si>
  <si>
    <t>Saldo inicial
(con extra)</t>
  </si>
  <si>
    <t>Interés
(con extra)</t>
  </si>
  <si>
    <t>Cuota
efectiva</t>
  </si>
  <si>
    <t>Principal
(con extra)</t>
  </si>
  <si>
    <t>Saldo final
(con extra)</t>
  </si>
  <si>
    <t>Interés acum.
(con extra)</t>
  </si>
  <si>
    <t>Ahorro acumulado
si AMORTIZAS (€)</t>
  </si>
  <si>
    <t>Valor bruto
inversión (€)</t>
  </si>
  <si>
    <t>Ganancia
bruta (€)</t>
  </si>
  <si>
    <t>Ahorro total en intereses si amortizas (a tus años pendientes)</t>
  </si>
  <si>
    <t>Impuesto si
liquidas (€)</t>
  </si>
  <si>
    <t>Ganancia neta acumulada
si INVIERTES (€)</t>
  </si>
  <si>
    <t>Ganancia neta si inviertes en un fondo indexado (mismo horizonte)</t>
  </si>
  <si>
    <t>Diferencia a tu favor si inviertes en vez de amortizar</t>
  </si>
  <si>
    <t>Esto es una calculadora educativa, no asesoramiento financiero ni fiscal personalizado. El cuadro año a año de la pestaña 'Cuadro comparativo' es el cálculo exacto; la regla rápida de arriba es solo una aproximación. Revisa los supuestos en la pestaña 'Notas y fuentes'.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</si>
</sst>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\€"/>
    <numFmt numFmtId="165" formatCode="#,##0.00\€"/>
  </numFmts>
  <fonts count="16">
    <font>
      <sz val="11.0"/>
      <color theme="1"/>
      <name val="Calibri"/>
      <scheme val="minor"/>
    </font>
    <font>
      <b/>
      <sz val="16.0"/>
      <color rgb="FFFFFFFF"/>
      <name val="Arial"/>
    </font>
    <font/>
    <font>
      <i/>
      <sz val="10.0"/>
      <color rgb="FF555555"/>
      <name val="Arial"/>
    </font>
    <font>
      <b/>
      <sz val="11.0"/>
      <color rgb="FF1F2A44"/>
      <name val="Arial"/>
    </font>
    <font>
      <b/>
      <sz val="11.0"/>
      <color rgb="FFFFFFFF"/>
      <name val="Arial"/>
    </font>
    <font>
      <sz val="10.0"/>
      <color rgb="FF333333"/>
      <name val="Arial"/>
    </font>
    <font>
      <b/>
      <sz val="8.0"/>
      <color rgb="FF999999"/>
      <name val="Arial"/>
    </font>
    <font>
      <sz val="10.0"/>
      <color rgb="FF000000"/>
      <name val="Arial"/>
    </font>
    <font>
      <b/>
      <sz val="10.0"/>
      <color rgb="FF0000FF"/>
      <name val="Arial"/>
    </font>
    <font>
      <sz val="8.0"/>
      <color rgb="FF999999"/>
      <name val="Arial"/>
    </font>
    <font>
      <b/>
      <sz val="8.0"/>
      <color rgb="FF000000"/>
      <name val="Arial"/>
    </font>
    <font>
      <sz val="11.0"/>
      <color theme="1"/>
      <name val="Calibri"/>
    </font>
    <font>
      <sz val="9.0"/>
      <color theme="1"/>
      <name val="Arial"/>
    </font>
    <font>
      <b/>
      <sz val="12.0"/>
      <color rgb="FFFFFFFF"/>
      <name val="Arial"/>
    </font>
    <font>
      <i/>
      <sz val="9.0"/>
      <color rgb="FF777777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F2A44"/>
        <bgColor rgb="FF1F2A44"/>
      </patternFill>
    </fill>
    <fill>
      <patternFill patternType="solid">
        <fgColor rgb="FFFFFDE7"/>
        <bgColor rgb="FFFFFDE7"/>
      </patternFill>
    </fill>
    <fill>
      <patternFill patternType="solid">
        <fgColor rgb="FFE8E2D4"/>
        <bgColor rgb="FFE8E2D4"/>
      </patternFill>
    </fill>
  </fills>
  <borders count="11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1" fillId="2" fontId="5" numFmtId="0" xfId="0" applyAlignment="1" applyBorder="1" applyFont="1">
      <alignment horizontal="left" shrinkToFit="0" vertical="center" wrapText="0"/>
    </xf>
    <xf borderId="0" fillId="0" fontId="6" numFmtId="0" xfId="0" applyAlignment="1" applyFont="1">
      <alignment shrinkToFit="0" vertical="top" wrapText="1"/>
    </xf>
    <xf borderId="0" fillId="0" fontId="7" numFmtId="0" xfId="0" applyAlignment="1" applyFont="1">
      <alignment shrinkToFit="0" vertical="bottom" wrapText="0"/>
    </xf>
    <xf borderId="0" fillId="0" fontId="8" numFmtId="0" xfId="0" applyAlignment="1" applyFont="1">
      <alignment shrinkToFit="0" vertical="center" wrapText="1"/>
    </xf>
    <xf borderId="4" fillId="3" fontId="9" numFmtId="164" xfId="0" applyAlignment="1" applyBorder="1" applyFill="1" applyFont="1" applyNumberFormat="1">
      <alignment horizontal="center" shrinkToFit="0" vertical="center" wrapText="0"/>
    </xf>
    <xf borderId="4" fillId="3" fontId="9" numFmtId="1" xfId="0" applyAlignment="1" applyBorder="1" applyFont="1" applyNumberFormat="1">
      <alignment horizontal="center" shrinkToFit="0" vertical="center" wrapText="0"/>
    </xf>
    <xf borderId="0" fillId="0" fontId="10" numFmtId="0" xfId="0" applyAlignment="1" applyFont="1">
      <alignment shrinkToFit="0" vertical="bottom" wrapText="0"/>
    </xf>
    <xf borderId="4" fillId="0" fontId="10" numFmtId="164" xfId="0" applyAlignment="1" applyBorder="1" applyFont="1" applyNumberFormat="1">
      <alignment horizontal="center" shrinkToFit="0" vertical="center" wrapText="0"/>
    </xf>
    <xf borderId="4" fillId="3" fontId="9" numFmtId="10" xfId="0" applyAlignment="1" applyBorder="1" applyFont="1" applyNumberFormat="1">
      <alignment horizontal="center" shrinkToFit="0" vertical="center" wrapText="0"/>
    </xf>
    <xf borderId="4" fillId="3" fontId="9" numFmtId="0" xfId="0" applyAlignment="1" applyBorder="1" applyFont="1">
      <alignment horizontal="center" shrinkToFit="0" vertical="center" wrapText="0"/>
    </xf>
    <xf borderId="4" fillId="0" fontId="10" numFmtId="10" xfId="0" applyAlignment="1" applyBorder="1" applyFont="1" applyNumberFormat="1">
      <alignment horizontal="center" shrinkToFit="0" vertical="center" wrapText="0"/>
    </xf>
    <xf borderId="0" fillId="0" fontId="10" numFmtId="0" xfId="0" applyAlignment="1" applyFont="1">
      <alignment readingOrder="0" shrinkToFit="0" vertical="bottom" wrapText="0"/>
    </xf>
    <xf borderId="4" fillId="0" fontId="8" numFmtId="165" xfId="0" applyAlignment="1" applyBorder="1" applyFont="1" applyNumberFormat="1">
      <alignment horizontal="center" shrinkToFit="0" vertical="center" wrapText="0"/>
    </xf>
    <xf borderId="4" fillId="0" fontId="8" numFmtId="164" xfId="0" applyAlignment="1" applyBorder="1" applyFont="1" applyNumberFormat="1">
      <alignment horizontal="center" shrinkToFit="0" vertical="center" wrapText="0"/>
    </xf>
    <xf borderId="4" fillId="0" fontId="8" numFmtId="9" xfId="0" applyAlignment="1" applyBorder="1" applyFont="1" applyNumberFormat="1">
      <alignment horizontal="center" shrinkToFit="0" vertical="center" wrapText="0"/>
    </xf>
    <xf borderId="4" fillId="0" fontId="4" numFmtId="10" xfId="0" applyAlignment="1" applyBorder="1" applyFont="1" applyNumberFormat="1">
      <alignment horizontal="center" shrinkToFit="0" vertical="center" wrapText="0"/>
    </xf>
    <xf borderId="4" fillId="4" fontId="11" numFmtId="0" xfId="0" applyAlignment="1" applyBorder="1" applyFill="1" applyFont="1">
      <alignment horizontal="center" shrinkToFit="0" vertical="center" wrapText="1"/>
    </xf>
    <xf borderId="4" fillId="0" fontId="8" numFmtId="10" xfId="0" applyAlignment="1" applyBorder="1" applyFont="1" applyNumberFormat="1">
      <alignment horizontal="center" shrinkToFit="0" vertical="center" wrapText="0"/>
    </xf>
    <xf borderId="0" fillId="0" fontId="12" numFmtId="0" xfId="0" applyAlignment="1" applyFont="1">
      <alignment horizontal="center" shrinkToFit="0" vertical="bottom" wrapText="0"/>
    </xf>
    <xf borderId="0" fillId="0" fontId="13" numFmtId="164" xfId="0" applyAlignment="1" applyFont="1" applyNumberFormat="1">
      <alignment horizontal="center" shrinkToFit="0" vertical="bottom" wrapText="0"/>
    </xf>
    <xf borderId="4" fillId="0" fontId="4" numFmtId="164" xfId="0" applyAlignment="1" applyBorder="1" applyFont="1" applyNumberFormat="1">
      <alignment horizontal="center" shrinkToFit="0" vertical="center" wrapText="0"/>
    </xf>
    <xf borderId="5" fillId="2" fontId="14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0" fillId="0" fontId="15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rPr b="1" i="0" sz="1800">
                <a:solidFill>
                  <a:srgbClr val="000000"/>
                </a:solidFill>
                <a:latin typeface="Calibri"/>
              </a:rPr>
              <a:t>Patrimonio adicional generado: amortizar vs invertir</a:t>
            </a:r>
          </a:p>
        </c:rich>
      </c:tx>
      <c:overlay val="0"/>
    </c:title>
    <c:plotArea>
      <c:layout/>
      <c:lineChart>
        <c:ser>
          <c:idx val="0"/>
          <c:order val="0"/>
          <c:tx>
            <c:v>Ahorro acumulado
si AMORTIZAS (€)</c:v>
          </c:tx>
          <c:spPr>
            <a:ln cmpd="sng" w="19050">
              <a:solidFill>
                <a:srgbClr val="1F2A44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'Cuadro comparativo'!$A$4:$A$43</c:f>
            </c:strRef>
          </c:cat>
          <c:val>
            <c:numRef>
              <c:f>'Cuadro comparativo'!$M$4:$M$43</c:f>
              <c:numCache/>
            </c:numRef>
          </c:val>
          <c:smooth val="0"/>
        </c:ser>
        <c:ser>
          <c:idx val="1"/>
          <c:order val="1"/>
          <c:tx>
            <c:v>Ganancia neta acumulada
si INVIERTES (€)</c:v>
          </c:tx>
          <c:spPr>
            <a:ln cmpd="sng" w="19050">
              <a:solidFill>
                <a:srgbClr val="B08D57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'Cuadro comparativo'!$A$4:$A$43</c:f>
            </c:strRef>
          </c:cat>
          <c:val>
            <c:numRef>
              <c:f>'Cuadro comparativo'!$Q$4:$Q$43</c:f>
              <c:numCache/>
            </c:numRef>
          </c:val>
          <c:smooth val="0"/>
        </c:ser>
        <c:axId val="595023864"/>
        <c:axId val="472295396"/>
      </c:lineChart>
      <c:catAx>
        <c:axId val="595023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Calibri"/>
                  </a:defRPr>
                </a:pPr>
                <a:r>
                  <a:rPr b="1" i="0" sz="1000">
                    <a:solidFill>
                      <a:srgbClr val="000000"/>
                    </a:solidFill>
                    <a:latin typeface="Calibri"/>
                  </a:rPr>
                  <a:t>Año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472295396"/>
      </c:catAx>
      <c:valAx>
        <c:axId val="4722953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1000">
                    <a:solidFill>
                      <a:srgbClr val="000000"/>
                    </a:solidFill>
                    <a:latin typeface="Calibri"/>
                  </a:defRPr>
                </a:pPr>
                <a:r>
                  <a:rPr b="1" i="0" sz="1000">
                    <a:solidFill>
                      <a:srgbClr val="000000"/>
                    </a:solidFill>
                    <a:latin typeface="Calibri"/>
                  </a:rPr>
                  <a:t>€ acumulados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595023864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45</xdr:row>
      <xdr:rowOff>0</xdr:rowOff>
    </xdr:from>
    <xdr:ext cx="8210550" cy="3762375"/>
    <xdr:graphicFrame>
      <xdr:nvGraphicFramePr>
        <xdr:cNvPr id="131151186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46.0"/>
    <col customWidth="1" min="3" max="3" width="3.0"/>
    <col customWidth="1" min="4" max="4" width="18.0"/>
    <col customWidth="1" min="5" max="6" width="3.0"/>
    <col customWidth="1" min="7" max="7" width="26.0"/>
    <col customWidth="1" min="8" max="8" width="16.0"/>
    <col customWidth="1" min="9" max="26" width="8.71"/>
  </cols>
  <sheetData>
    <row r="1" ht="30.0" customHeight="1">
      <c r="B1" s="1" t="s">
        <v>0</v>
      </c>
      <c r="C1" s="2"/>
      <c r="D1" s="2"/>
      <c r="E1" s="3"/>
    </row>
    <row r="2">
      <c r="B2" s="4" t="s">
        <v>2</v>
      </c>
    </row>
    <row r="4" ht="19.5" customHeight="1">
      <c r="B4" s="6" t="s">
        <v>4</v>
      </c>
      <c r="C4" s="2"/>
      <c r="D4" s="2"/>
      <c r="E4" s="3"/>
      <c r="G4" s="8" t="s">
        <v>6</v>
      </c>
    </row>
    <row r="5">
      <c r="B5" s="9" t="s">
        <v>8</v>
      </c>
      <c r="D5" s="10">
        <v>120000.0</v>
      </c>
    </row>
    <row r="6">
      <c r="B6" s="9" t="s">
        <v>16</v>
      </c>
      <c r="D6" s="11">
        <v>20.0</v>
      </c>
      <c r="G6" s="12" t="s">
        <v>23</v>
      </c>
      <c r="H6" s="13">
        <f>-PMT(D7,D6,D5)</f>
        <v>8443.329214</v>
      </c>
    </row>
    <row r="7">
      <c r="B7" s="9" t="s">
        <v>24</v>
      </c>
      <c r="D7" s="14">
        <v>0.035</v>
      </c>
      <c r="G7" s="12" t="s">
        <v>25</v>
      </c>
      <c r="H7" s="13">
        <f>-PMT(D7,D6,D5-D12)</f>
        <v>7739.718446</v>
      </c>
    </row>
    <row r="8">
      <c r="B8" s="9" t="s">
        <v>26</v>
      </c>
      <c r="D8" s="15" t="s">
        <v>27</v>
      </c>
      <c r="G8" s="12" t="s">
        <v>28</v>
      </c>
      <c r="H8" s="13">
        <f>D21*12</f>
        <v>8351.419939</v>
      </c>
    </row>
    <row r="9">
      <c r="B9" s="9" t="s">
        <v>29</v>
      </c>
      <c r="D9" s="15" t="s">
        <v>30</v>
      </c>
      <c r="G9" s="12" t="s">
        <v>31</v>
      </c>
      <c r="H9" s="16">
        <f>IF(H8=0,0,D23*MIN(1,D22/H8))</f>
        <v>0.18</v>
      </c>
    </row>
    <row r="11" ht="19.5" customHeight="1">
      <c r="B11" s="6" t="s">
        <v>32</v>
      </c>
      <c r="C11" s="2"/>
      <c r="D11" s="2"/>
      <c r="E11" s="3"/>
    </row>
    <row r="12">
      <c r="B12" s="9" t="s">
        <v>33</v>
      </c>
      <c r="D12" s="10">
        <v>10000.0</v>
      </c>
    </row>
    <row r="13">
      <c r="B13" s="9" t="s">
        <v>34</v>
      </c>
      <c r="D13" s="15" t="s">
        <v>35</v>
      </c>
      <c r="G13" s="17" t="s">
        <v>36</v>
      </c>
    </row>
    <row r="15" ht="19.5" customHeight="1">
      <c r="B15" s="6" t="s">
        <v>37</v>
      </c>
      <c r="C15" s="2"/>
      <c r="D15" s="2"/>
      <c r="E15" s="3"/>
    </row>
    <row r="16">
      <c r="B16" s="9" t="s">
        <v>38</v>
      </c>
      <c r="D16" s="14">
        <v>0.075</v>
      </c>
      <c r="G16" s="17" t="s">
        <v>39</v>
      </c>
    </row>
    <row r="17">
      <c r="B17" s="9" t="s">
        <v>40</v>
      </c>
      <c r="D17" s="14">
        <v>0.0</v>
      </c>
      <c r="G17" s="17" t="s">
        <v>41</v>
      </c>
    </row>
    <row r="18">
      <c r="B18" s="9" t="s">
        <v>42</v>
      </c>
      <c r="D18" s="14">
        <v>0.21</v>
      </c>
    </row>
    <row r="20" ht="19.5" customHeight="1">
      <c r="B20" s="6" t="s">
        <v>43</v>
      </c>
      <c r="C20" s="2"/>
      <c r="D20" s="2"/>
      <c r="E20" s="3"/>
    </row>
    <row r="21" ht="15.75" customHeight="1">
      <c r="B21" s="9" t="s">
        <v>44</v>
      </c>
      <c r="D21" s="18">
        <f>-PMT(D7/12,D6*12,D5)</f>
        <v>695.9516616</v>
      </c>
    </row>
    <row r="22" ht="15.75" customHeight="1">
      <c r="B22" s="9" t="s">
        <v>45</v>
      </c>
      <c r="D22" s="19">
        <f>IF(OR(D8="Bizkaia",D8="Álava",D8="Gipuzkoa"),8500,IF(D8="Territorio común (con deducción, compra antes de 2013)",9040,0))</f>
        <v>8500</v>
      </c>
    </row>
    <row r="23" ht="15.75" customHeight="1">
      <c r="B23" s="9" t="s">
        <v>46</v>
      </c>
      <c r="D23" s="20">
        <f>IF(OR(D8="Bizkaia",D8="Álava",D8="Gipuzkoa"),IF(D9="Menor de 35 años",0.23,0.18),IF(D8="Territorio común (con deducción, compra antes de 2013)",0.15,0))</f>
        <v>0.18</v>
      </c>
    </row>
    <row r="24" ht="15.75" customHeight="1">
      <c r="B24" s="9" t="s">
        <v>47</v>
      </c>
      <c r="D24" s="21">
        <f>D7*(1-H9)</f>
        <v>0.0287</v>
      </c>
    </row>
    <row r="25" ht="15.75" customHeight="1">
      <c r="B25" s="9" t="s">
        <v>49</v>
      </c>
      <c r="D25" s="21">
        <f>D16-D17</f>
        <v>0.075</v>
      </c>
    </row>
    <row r="26" ht="15.75" customHeight="1">
      <c r="B26" s="9" t="s">
        <v>50</v>
      </c>
      <c r="D26" s="23">
        <f>D24/(1-D18)+D17</f>
        <v>0.03632911392</v>
      </c>
    </row>
    <row r="27" ht="15.75" customHeight="1"/>
    <row r="28" ht="15.75" customHeight="1">
      <c r="B28" s="9" t="s">
        <v>65</v>
      </c>
      <c r="D28" s="26">
        <f t="array" ref="D28">INDEX('Cuadro comparativo'!M:M,3+ROUND(D6,0))</f>
        <v>9421.806211</v>
      </c>
    </row>
    <row r="29" ht="15.75" customHeight="1">
      <c r="B29" s="9" t="s">
        <v>68</v>
      </c>
      <c r="D29" s="26">
        <f t="array" ref="D29">INDEX('Cuadro comparativo'!Q:Q,3+ROUND(D6,0))</f>
        <v>25658.02369</v>
      </c>
    </row>
    <row r="30" ht="15.75" customHeight="1">
      <c r="B30" s="9" t="s">
        <v>69</v>
      </c>
      <c r="D30" s="26">
        <f>D29-D28</f>
        <v>16236.21748</v>
      </c>
    </row>
    <row r="31" ht="15.75" customHeight="1"/>
    <row r="32" ht="19.5" customHeight="1">
      <c r="B32" s="27" t="str">
        <f>IF(D30&gt;0,"✔ Con tus datos, INVERTIR en un fondo indexado te deja más patrimonio neto que amortizar.","✔ Con tus datos, AMORTIZAR la hipoteca te deja más patrimonio neto que invertir.")</f>
        <v>✔ Con tus datos, INVERTIR en un fondo indexado te deja más patrimonio neto que amortizar.</v>
      </c>
      <c r="C32" s="28"/>
      <c r="D32" s="28"/>
      <c r="E32" s="29"/>
    </row>
    <row r="33" ht="19.5" customHeight="1">
      <c r="B33" s="30"/>
      <c r="C33" s="31"/>
      <c r="D33" s="31"/>
      <c r="E33" s="32"/>
    </row>
    <row r="34" ht="15.75" customHeight="1"/>
    <row r="35" ht="15.0" customHeight="1">
      <c r="B35" s="33" t="s">
        <v>70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B1:E1"/>
    <mergeCell ref="B2:H2"/>
    <mergeCell ref="B4:E4"/>
    <mergeCell ref="B11:E11"/>
    <mergeCell ref="B15:E15"/>
    <mergeCell ref="B20:E20"/>
    <mergeCell ref="B32:E33"/>
    <mergeCell ref="B35:E38"/>
  </mergeCells>
  <dataValidations>
    <dataValidation type="list" allowBlank="1" sqref="D13">
      <formula1>"Reducir plazo,Reducir cuota"</formula1>
    </dataValidation>
    <dataValidation type="list" allowBlank="1" sqref="D9">
      <formula1>"Menor de 35 años,35 años o más"</formula1>
    </dataValidation>
    <dataValidation type="list" allowBlank="1" sqref="D8">
      <formula1>"Bizkaia,Álava,Gipuzkoa,Territorio común (sin deducción,compra desde 2013),Territorio común (con deducción,compra antes de 2013)"</formula1>
    </dataValidation>
    <dataValidation type="decimal" allowBlank="1" sqref="D6">
      <formula1>1.0</formula1>
      <formula2>40.0</formula2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.0"/>
    <col customWidth="1" min="2" max="2" width="13.0"/>
    <col customWidth="1" min="3" max="5" width="11.0"/>
    <col customWidth="1" min="6" max="7" width="13.0"/>
    <col customWidth="1" min="8" max="8" width="11.0"/>
    <col customWidth="1" min="9" max="9" width="13.0"/>
    <col customWidth="1" min="10" max="10" width="11.0"/>
    <col customWidth="1" min="11" max="11" width="13.0"/>
    <col customWidth="1" min="12" max="12" width="15.0"/>
    <col customWidth="1" min="13" max="13" width="14.0"/>
    <col customWidth="1" min="14" max="14" width="13.0"/>
    <col customWidth="1" min="15" max="15" width="11.0"/>
    <col customWidth="1" min="16" max="16" width="13.0"/>
    <col customWidth="1" min="17" max="17" width="14.0"/>
    <col customWidth="1" min="18" max="26" width="8.71"/>
  </cols>
  <sheetData>
    <row r="1" ht="25.5" customHeight="1">
      <c r="A1" s="1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3" ht="30.0" customHeight="1">
      <c r="A3" s="22" t="s">
        <v>51</v>
      </c>
      <c r="B3" s="22" t="s">
        <v>52</v>
      </c>
      <c r="C3" s="22" t="s">
        <v>53</v>
      </c>
      <c r="D3" s="22" t="s">
        <v>54</v>
      </c>
      <c r="E3" s="22"/>
      <c r="F3" s="22" t="s">
        <v>55</v>
      </c>
      <c r="G3" s="22" t="s">
        <v>56</v>
      </c>
      <c r="H3" s="22" t="s">
        <v>57</v>
      </c>
      <c r="I3" s="22" t="s">
        <v>58</v>
      </c>
      <c r="J3" s="22" t="s">
        <v>59</v>
      </c>
      <c r="K3" s="22" t="s">
        <v>60</v>
      </c>
      <c r="L3" s="22" t="s">
        <v>61</v>
      </c>
      <c r="M3" s="22" t="s">
        <v>62</v>
      </c>
      <c r="N3" s="22" t="s">
        <v>63</v>
      </c>
      <c r="O3" s="22" t="s">
        <v>64</v>
      </c>
      <c r="P3" s="22" t="s">
        <v>66</v>
      </c>
      <c r="Q3" s="22" t="s">
        <v>67</v>
      </c>
    </row>
    <row r="4">
      <c r="A4" s="24">
        <v>1.0</v>
      </c>
      <c r="B4" s="25">
        <f>Calculadora!$D$5</f>
        <v>120000</v>
      </c>
      <c r="C4" s="25">
        <f>B4*Calculadora!$D$7</f>
        <v>4200</v>
      </c>
      <c r="D4" s="25">
        <f>MAX(0,B4-MIN(Calculadora!$H$6-C4,B4))</f>
        <v>115756.6708</v>
      </c>
      <c r="F4" s="25">
        <f>C4</f>
        <v>4200</v>
      </c>
      <c r="G4" s="25">
        <f>Calculadora!$D$5-Calculadora!$D$12</f>
        <v>110000</v>
      </c>
      <c r="H4" s="25">
        <f>G4*Calculadora!$D$7</f>
        <v>3850</v>
      </c>
      <c r="I4" s="25">
        <f>IF(Calculadora!$D$13="Reducir plazo",Calculadora!$H$6,Calculadora!$H$7)</f>
        <v>8443.329214</v>
      </c>
      <c r="J4" s="25">
        <f t="shared" ref="J4:J43" si="1">MIN(I4-H4,G4)</f>
        <v>4593.329214</v>
      </c>
      <c r="K4" s="25">
        <f t="shared" ref="K4:K43" si="2">MAX(0,G4-J4)</f>
        <v>105406.6708</v>
      </c>
      <c r="L4" s="25">
        <f>H4</f>
        <v>3850</v>
      </c>
      <c r="M4" s="25">
        <f t="shared" ref="M4:M43" si="3">F4-L4</f>
        <v>350</v>
      </c>
      <c r="N4" s="25">
        <f>Calculadora!$D$12*(1+(Calculadora!$D$16-Calculadora!$D$17))^A4</f>
        <v>10750</v>
      </c>
      <c r="O4" s="25">
        <f>N4-Calculadora!$D$12</f>
        <v>750</v>
      </c>
      <c r="P4" s="25">
        <f>O4*Calculadora!$D$18</f>
        <v>157.5</v>
      </c>
      <c r="Q4" s="25">
        <f t="shared" ref="Q4:Q43" si="4">O4-P4</f>
        <v>592.5</v>
      </c>
    </row>
    <row r="5">
      <c r="A5" s="24">
        <f t="shared" ref="A5:A43" si="5">A4+1</f>
        <v>2</v>
      </c>
      <c r="B5" s="25">
        <f t="shared" ref="B5:B43" si="6">D4</f>
        <v>115756.6708</v>
      </c>
      <c r="C5" s="25">
        <f>B5*Calculadora!$D$7</f>
        <v>4051.483478</v>
      </c>
      <c r="D5" s="25">
        <f>MAX(0,B5-MIN(Calculadora!$H$6-C5,B5))</f>
        <v>111364.825</v>
      </c>
      <c r="F5" s="25">
        <f t="shared" ref="F5:F43" si="7">F4+C5</f>
        <v>8251.483478</v>
      </c>
      <c r="G5" s="25">
        <f t="shared" ref="G5:G43" si="8">K4</f>
        <v>105406.6708</v>
      </c>
      <c r="H5" s="25">
        <f>G5*Calculadora!$D$7</f>
        <v>3689.233478</v>
      </c>
      <c r="I5" s="25">
        <f>IF(Calculadora!$D$13="Reducir plazo",Calculadora!$H$6,Calculadora!$H$7)</f>
        <v>8443.329214</v>
      </c>
      <c r="J5" s="25">
        <f t="shared" si="1"/>
        <v>4754.095736</v>
      </c>
      <c r="K5" s="25">
        <f t="shared" si="2"/>
        <v>100652.575</v>
      </c>
      <c r="L5" s="25">
        <f t="shared" ref="L5:L43" si="9">L4+H5</f>
        <v>7539.233478</v>
      </c>
      <c r="M5" s="25">
        <f t="shared" si="3"/>
        <v>712.25</v>
      </c>
      <c r="N5" s="25">
        <f>Calculadora!$D$12*(1+(Calculadora!$D$16-Calculadora!$D$17))^A5</f>
        <v>11556.25</v>
      </c>
      <c r="O5" s="25">
        <f>N5-Calculadora!$D$12</f>
        <v>1556.25</v>
      </c>
      <c r="P5" s="25">
        <f>O5*Calculadora!$D$18</f>
        <v>326.8125</v>
      </c>
      <c r="Q5" s="25">
        <f t="shared" si="4"/>
        <v>1229.4375</v>
      </c>
    </row>
    <row r="6">
      <c r="A6" s="24">
        <f t="shared" si="5"/>
        <v>3</v>
      </c>
      <c r="B6" s="25">
        <f t="shared" si="6"/>
        <v>111364.825</v>
      </c>
      <c r="C6" s="25">
        <f>B6*Calculadora!$D$7</f>
        <v>3897.768877</v>
      </c>
      <c r="D6" s="25">
        <f>MAX(0,B6-MIN(Calculadora!$H$6-C6,B6))</f>
        <v>106819.2647</v>
      </c>
      <c r="F6" s="25">
        <f t="shared" si="7"/>
        <v>12149.25235</v>
      </c>
      <c r="G6" s="25">
        <f t="shared" si="8"/>
        <v>100652.575</v>
      </c>
      <c r="H6" s="25">
        <f>G6*Calculadora!$D$7</f>
        <v>3522.840127</v>
      </c>
      <c r="I6" s="25">
        <f>IF(Calculadora!$D$13="Reducir plazo",Calculadora!$H$6,Calculadora!$H$7)</f>
        <v>8443.329214</v>
      </c>
      <c r="J6" s="25">
        <f t="shared" si="1"/>
        <v>4920.489087</v>
      </c>
      <c r="K6" s="25">
        <f t="shared" si="2"/>
        <v>95732.08596</v>
      </c>
      <c r="L6" s="25">
        <f t="shared" si="9"/>
        <v>11062.0736</v>
      </c>
      <c r="M6" s="25">
        <f t="shared" si="3"/>
        <v>1087.17875</v>
      </c>
      <c r="N6" s="25">
        <f>Calculadora!$D$12*(1+(Calculadora!$D$16-Calculadora!$D$17))^A6</f>
        <v>12422.96875</v>
      </c>
      <c r="O6" s="25">
        <f>N6-Calculadora!$D$12</f>
        <v>2422.96875</v>
      </c>
      <c r="P6" s="25">
        <f>O6*Calculadora!$D$18</f>
        <v>508.8234375</v>
      </c>
      <c r="Q6" s="25">
        <f t="shared" si="4"/>
        <v>1914.145313</v>
      </c>
    </row>
    <row r="7">
      <c r="A7" s="24">
        <f t="shared" si="5"/>
        <v>4</v>
      </c>
      <c r="B7" s="25">
        <f t="shared" si="6"/>
        <v>106819.2647</v>
      </c>
      <c r="C7" s="25">
        <f>B7*Calculadora!$D$7</f>
        <v>3738.674265</v>
      </c>
      <c r="D7" s="25">
        <f>MAX(0,B7-MIN(Calculadora!$H$6-C7,B7))</f>
        <v>102114.6098</v>
      </c>
      <c r="F7" s="25">
        <f t="shared" si="7"/>
        <v>15887.92662</v>
      </c>
      <c r="G7" s="25">
        <f t="shared" si="8"/>
        <v>95732.08596</v>
      </c>
      <c r="H7" s="25">
        <f>G7*Calculadora!$D$7</f>
        <v>3350.623009</v>
      </c>
      <c r="I7" s="25">
        <f>IF(Calculadora!$D$13="Reducir plazo",Calculadora!$H$6,Calculadora!$H$7)</f>
        <v>8443.329214</v>
      </c>
      <c r="J7" s="25">
        <f t="shared" si="1"/>
        <v>5092.706205</v>
      </c>
      <c r="K7" s="25">
        <f t="shared" si="2"/>
        <v>90639.37976</v>
      </c>
      <c r="L7" s="25">
        <f t="shared" si="9"/>
        <v>14412.69661</v>
      </c>
      <c r="M7" s="25">
        <f t="shared" si="3"/>
        <v>1475.230006</v>
      </c>
      <c r="N7" s="25">
        <f>Calculadora!$D$12*(1+(Calculadora!$D$16-Calculadora!$D$17))^A7</f>
        <v>13354.69141</v>
      </c>
      <c r="O7" s="25">
        <f>N7-Calculadora!$D$12</f>
        <v>3354.691406</v>
      </c>
      <c r="P7" s="25">
        <f>O7*Calculadora!$D$18</f>
        <v>704.4851953</v>
      </c>
      <c r="Q7" s="25">
        <f t="shared" si="4"/>
        <v>2650.206211</v>
      </c>
    </row>
    <row r="8">
      <c r="A8" s="24">
        <f t="shared" si="5"/>
        <v>5</v>
      </c>
      <c r="B8" s="25">
        <f t="shared" si="6"/>
        <v>102114.6098</v>
      </c>
      <c r="C8" s="25">
        <f>B8*Calculadora!$D$7</f>
        <v>3574.011342</v>
      </c>
      <c r="D8" s="25">
        <f>MAX(0,B8-MIN(Calculadora!$H$6-C8,B8))</f>
        <v>97245.29189</v>
      </c>
      <c r="F8" s="25">
        <f t="shared" si="7"/>
        <v>19461.93796</v>
      </c>
      <c r="G8" s="25">
        <f t="shared" si="8"/>
        <v>90639.37976</v>
      </c>
      <c r="H8" s="25">
        <f>G8*Calculadora!$D$7</f>
        <v>3172.378291</v>
      </c>
      <c r="I8" s="25">
        <f>IF(Calculadora!$D$13="Reducir plazo",Calculadora!$H$6,Calculadora!$H$7)</f>
        <v>8443.329214</v>
      </c>
      <c r="J8" s="25">
        <f t="shared" si="1"/>
        <v>5270.950922</v>
      </c>
      <c r="K8" s="25">
        <f t="shared" si="2"/>
        <v>85368.42883</v>
      </c>
      <c r="L8" s="25">
        <f t="shared" si="9"/>
        <v>17585.0749</v>
      </c>
      <c r="M8" s="25">
        <f t="shared" si="3"/>
        <v>1876.863056</v>
      </c>
      <c r="N8" s="25">
        <f>Calculadora!$D$12*(1+(Calculadora!$D$16-Calculadora!$D$17))^A8</f>
        <v>14356.29326</v>
      </c>
      <c r="O8" s="25">
        <f>N8-Calculadora!$D$12</f>
        <v>4356.293262</v>
      </c>
      <c r="P8" s="25">
        <f>O8*Calculadora!$D$18</f>
        <v>914.821585</v>
      </c>
      <c r="Q8" s="25">
        <f t="shared" si="4"/>
        <v>3441.471677</v>
      </c>
    </row>
    <row r="9">
      <c r="A9" s="24">
        <f t="shared" si="5"/>
        <v>6</v>
      </c>
      <c r="B9" s="25">
        <f t="shared" si="6"/>
        <v>97245.29189</v>
      </c>
      <c r="C9" s="25">
        <f>B9*Calculadora!$D$7</f>
        <v>3403.585216</v>
      </c>
      <c r="D9" s="25">
        <f>MAX(0,B9-MIN(Calculadora!$H$6-C9,B9))</f>
        <v>92205.54789</v>
      </c>
      <c r="F9" s="25">
        <f t="shared" si="7"/>
        <v>22865.52318</v>
      </c>
      <c r="G9" s="25">
        <f t="shared" si="8"/>
        <v>85368.42883</v>
      </c>
      <c r="H9" s="25">
        <f>G9*Calculadora!$D$7</f>
        <v>2987.895009</v>
      </c>
      <c r="I9" s="25">
        <f>IF(Calculadora!$D$13="Reducir plazo",Calculadora!$H$6,Calculadora!$H$7)</f>
        <v>8443.329214</v>
      </c>
      <c r="J9" s="25">
        <f t="shared" si="1"/>
        <v>5455.434205</v>
      </c>
      <c r="K9" s="25">
        <f t="shared" si="2"/>
        <v>79912.99463</v>
      </c>
      <c r="L9" s="25">
        <f t="shared" si="9"/>
        <v>20572.96991</v>
      </c>
      <c r="M9" s="25">
        <f t="shared" si="3"/>
        <v>2292.553263</v>
      </c>
      <c r="N9" s="25">
        <f>Calculadora!$D$12*(1+(Calculadora!$D$16-Calculadora!$D$17))^A9</f>
        <v>15433.01526</v>
      </c>
      <c r="O9" s="25">
        <f>N9-Calculadora!$D$12</f>
        <v>5433.015256</v>
      </c>
      <c r="P9" s="25">
        <f>O9*Calculadora!$D$18</f>
        <v>1140.933204</v>
      </c>
      <c r="Q9" s="25">
        <f t="shared" si="4"/>
        <v>4292.082053</v>
      </c>
    </row>
    <row r="10">
      <c r="A10" s="24">
        <f t="shared" si="5"/>
        <v>7</v>
      </c>
      <c r="B10" s="25">
        <f t="shared" si="6"/>
        <v>92205.54789</v>
      </c>
      <c r="C10" s="25">
        <f>B10*Calculadora!$D$7</f>
        <v>3227.194176</v>
      </c>
      <c r="D10" s="25">
        <f>MAX(0,B10-MIN(Calculadora!$H$6-C10,B10))</f>
        <v>86989.41286</v>
      </c>
      <c r="F10" s="25">
        <f t="shared" si="7"/>
        <v>26092.71735</v>
      </c>
      <c r="G10" s="25">
        <f t="shared" si="8"/>
        <v>79912.99463</v>
      </c>
      <c r="H10" s="25">
        <f>G10*Calculadora!$D$7</f>
        <v>2796.954812</v>
      </c>
      <c r="I10" s="25">
        <f>IF(Calculadora!$D$13="Reducir plazo",Calculadora!$H$6,Calculadora!$H$7)</f>
        <v>8443.329214</v>
      </c>
      <c r="J10" s="25">
        <f t="shared" si="1"/>
        <v>5646.374402</v>
      </c>
      <c r="K10" s="25">
        <f t="shared" si="2"/>
        <v>74266.62023</v>
      </c>
      <c r="L10" s="25">
        <f t="shared" si="9"/>
        <v>23369.92473</v>
      </c>
      <c r="M10" s="25">
        <f t="shared" si="3"/>
        <v>2722.792628</v>
      </c>
      <c r="N10" s="25">
        <f>Calculadora!$D$12*(1+(Calculadora!$D$16-Calculadora!$D$17))^A10</f>
        <v>16590.4914</v>
      </c>
      <c r="O10" s="25">
        <f>N10-Calculadora!$D$12</f>
        <v>6590.491401</v>
      </c>
      <c r="P10" s="25">
        <f>O10*Calculadora!$D$18</f>
        <v>1384.003194</v>
      </c>
      <c r="Q10" s="25">
        <f t="shared" si="4"/>
        <v>5206.488206</v>
      </c>
    </row>
    <row r="11">
      <c r="A11" s="24">
        <f t="shared" si="5"/>
        <v>8</v>
      </c>
      <c r="B11" s="25">
        <f t="shared" si="6"/>
        <v>86989.41286</v>
      </c>
      <c r="C11" s="25">
        <f>B11*Calculadora!$D$7</f>
        <v>3044.62945</v>
      </c>
      <c r="D11" s="25">
        <f>MAX(0,B11-MIN(Calculadora!$H$6-C11,B11))</f>
        <v>81590.71309</v>
      </c>
      <c r="F11" s="25">
        <f t="shared" si="7"/>
        <v>29137.3468</v>
      </c>
      <c r="G11" s="25">
        <f t="shared" si="8"/>
        <v>74266.62023</v>
      </c>
      <c r="H11" s="25">
        <f>G11*Calculadora!$D$7</f>
        <v>2599.331708</v>
      </c>
      <c r="I11" s="25">
        <f>IF(Calculadora!$D$13="Reducir plazo",Calculadora!$H$6,Calculadora!$H$7)</f>
        <v>8443.329214</v>
      </c>
      <c r="J11" s="25">
        <f t="shared" si="1"/>
        <v>5843.997506</v>
      </c>
      <c r="K11" s="25">
        <f t="shared" si="2"/>
        <v>68422.62272</v>
      </c>
      <c r="L11" s="25">
        <f t="shared" si="9"/>
        <v>25969.25643</v>
      </c>
      <c r="M11" s="25">
        <f t="shared" si="3"/>
        <v>3168.09037</v>
      </c>
      <c r="N11" s="25">
        <f>Calculadora!$D$12*(1+(Calculadora!$D$16-Calculadora!$D$17))^A11</f>
        <v>17834.77826</v>
      </c>
      <c r="O11" s="25">
        <f>N11-Calculadora!$D$12</f>
        <v>7834.778256</v>
      </c>
      <c r="P11" s="25">
        <f>O11*Calculadora!$D$18</f>
        <v>1645.303434</v>
      </c>
      <c r="Q11" s="25">
        <f t="shared" si="4"/>
        <v>6189.474822</v>
      </c>
    </row>
    <row r="12">
      <c r="A12" s="24">
        <f t="shared" si="5"/>
        <v>9</v>
      </c>
      <c r="B12" s="25">
        <f t="shared" si="6"/>
        <v>81590.71309</v>
      </c>
      <c r="C12" s="25">
        <f>B12*Calculadora!$D$7</f>
        <v>2855.674958</v>
      </c>
      <c r="D12" s="25">
        <f>MAX(0,B12-MIN(Calculadora!$H$6-C12,B12))</f>
        <v>76003.05884</v>
      </c>
      <c r="F12" s="25">
        <f t="shared" si="7"/>
        <v>31993.02176</v>
      </c>
      <c r="G12" s="25">
        <f t="shared" si="8"/>
        <v>68422.62272</v>
      </c>
      <c r="H12" s="25">
        <f>G12*Calculadora!$D$7</f>
        <v>2394.791795</v>
      </c>
      <c r="I12" s="25">
        <f>IF(Calculadora!$D$13="Reducir plazo",Calculadora!$H$6,Calculadora!$H$7)</f>
        <v>8443.329214</v>
      </c>
      <c r="J12" s="25">
        <f t="shared" si="1"/>
        <v>6048.537419</v>
      </c>
      <c r="K12" s="25">
        <f t="shared" si="2"/>
        <v>62374.0853</v>
      </c>
      <c r="L12" s="25">
        <f t="shared" si="9"/>
        <v>28364.04823</v>
      </c>
      <c r="M12" s="25">
        <f t="shared" si="3"/>
        <v>3628.973533</v>
      </c>
      <c r="N12" s="25">
        <f>Calculadora!$D$12*(1+(Calculadora!$D$16-Calculadora!$D$17))^A12</f>
        <v>19172.38662</v>
      </c>
      <c r="O12" s="25">
        <f>N12-Calculadora!$D$12</f>
        <v>9172.386625</v>
      </c>
      <c r="P12" s="25">
        <f>O12*Calculadora!$D$18</f>
        <v>1926.201191</v>
      </c>
      <c r="Q12" s="25">
        <f t="shared" si="4"/>
        <v>7246.185434</v>
      </c>
    </row>
    <row r="13">
      <c r="A13" s="24">
        <f t="shared" si="5"/>
        <v>10</v>
      </c>
      <c r="B13" s="25">
        <f t="shared" si="6"/>
        <v>76003.05884</v>
      </c>
      <c r="C13" s="25">
        <f>B13*Calculadora!$D$7</f>
        <v>2660.107059</v>
      </c>
      <c r="D13" s="25">
        <f>MAX(0,B13-MIN(Calculadora!$H$6-C13,B13))</f>
        <v>70219.83668</v>
      </c>
      <c r="F13" s="25">
        <f t="shared" si="7"/>
        <v>34653.12882</v>
      </c>
      <c r="G13" s="25">
        <f t="shared" si="8"/>
        <v>62374.0853</v>
      </c>
      <c r="H13" s="25">
        <f>G13*Calculadora!$D$7</f>
        <v>2183.092986</v>
      </c>
      <c r="I13" s="25">
        <f>IF(Calculadora!$D$13="Reducir plazo",Calculadora!$H$6,Calculadora!$H$7)</f>
        <v>8443.329214</v>
      </c>
      <c r="J13" s="25">
        <f t="shared" si="1"/>
        <v>6260.236228</v>
      </c>
      <c r="K13" s="25">
        <f t="shared" si="2"/>
        <v>56113.84907</v>
      </c>
      <c r="L13" s="25">
        <f t="shared" si="9"/>
        <v>30547.14121</v>
      </c>
      <c r="M13" s="25">
        <f t="shared" si="3"/>
        <v>4105.987606</v>
      </c>
      <c r="N13" s="25">
        <f>Calculadora!$D$12*(1+(Calculadora!$D$16-Calculadora!$D$17))^A13</f>
        <v>20610.31562</v>
      </c>
      <c r="O13" s="25">
        <f>N13-Calculadora!$D$12</f>
        <v>10610.31562</v>
      </c>
      <c r="P13" s="25">
        <f>O13*Calculadora!$D$18</f>
        <v>2228.166281</v>
      </c>
      <c r="Q13" s="25">
        <f t="shared" si="4"/>
        <v>8382.149341</v>
      </c>
    </row>
    <row r="14">
      <c r="A14" s="24">
        <f t="shared" si="5"/>
        <v>11</v>
      </c>
      <c r="B14" s="25">
        <f t="shared" si="6"/>
        <v>70219.83668</v>
      </c>
      <c r="C14" s="25">
        <f>B14*Calculadora!$D$7</f>
        <v>2457.694284</v>
      </c>
      <c r="D14" s="25">
        <f>MAX(0,B14-MIN(Calculadora!$H$6-C14,B14))</f>
        <v>64234.20175</v>
      </c>
      <c r="F14" s="25">
        <f t="shared" si="7"/>
        <v>37110.8231</v>
      </c>
      <c r="G14" s="25">
        <f t="shared" si="8"/>
        <v>56113.84907</v>
      </c>
      <c r="H14" s="25">
        <f>G14*Calculadora!$D$7</f>
        <v>1963.984718</v>
      </c>
      <c r="I14" s="25">
        <f>IF(Calculadora!$D$13="Reducir plazo",Calculadora!$H$6,Calculadora!$H$7)</f>
        <v>8443.329214</v>
      </c>
      <c r="J14" s="25">
        <f t="shared" si="1"/>
        <v>6479.344496</v>
      </c>
      <c r="K14" s="25">
        <f t="shared" si="2"/>
        <v>49634.50458</v>
      </c>
      <c r="L14" s="25">
        <f t="shared" si="9"/>
        <v>32511.12593</v>
      </c>
      <c r="M14" s="25">
        <f t="shared" si="3"/>
        <v>4599.697172</v>
      </c>
      <c r="N14" s="25">
        <f>Calculadora!$D$12*(1+(Calculadora!$D$16-Calculadora!$D$17))^A14</f>
        <v>22156.08929</v>
      </c>
      <c r="O14" s="25">
        <f>N14-Calculadora!$D$12</f>
        <v>12156.08929</v>
      </c>
      <c r="P14" s="25">
        <f>O14*Calculadora!$D$18</f>
        <v>2552.778752</v>
      </c>
      <c r="Q14" s="25">
        <f t="shared" si="4"/>
        <v>9603.310542</v>
      </c>
    </row>
    <row r="15">
      <c r="A15" s="24">
        <f t="shared" si="5"/>
        <v>12</v>
      </c>
      <c r="B15" s="25">
        <f t="shared" si="6"/>
        <v>64234.20175</v>
      </c>
      <c r="C15" s="25">
        <f>B15*Calculadora!$D$7</f>
        <v>2248.197061</v>
      </c>
      <c r="D15" s="25">
        <f>MAX(0,B15-MIN(Calculadora!$H$6-C15,B15))</f>
        <v>58039.0696</v>
      </c>
      <c r="F15" s="25">
        <f t="shared" si="7"/>
        <v>39359.02017</v>
      </c>
      <c r="G15" s="25">
        <f t="shared" si="8"/>
        <v>49634.50458</v>
      </c>
      <c r="H15" s="25">
        <f>G15*Calculadora!$D$7</f>
        <v>1737.20766</v>
      </c>
      <c r="I15" s="25">
        <f>IF(Calculadora!$D$13="Reducir plazo",Calculadora!$H$6,Calculadora!$H$7)</f>
        <v>8443.329214</v>
      </c>
      <c r="J15" s="25">
        <f t="shared" si="1"/>
        <v>6706.121554</v>
      </c>
      <c r="K15" s="25">
        <f t="shared" si="2"/>
        <v>42928.38302</v>
      </c>
      <c r="L15" s="25">
        <f t="shared" si="9"/>
        <v>34248.33359</v>
      </c>
      <c r="M15" s="25">
        <f t="shared" si="3"/>
        <v>5110.686573</v>
      </c>
      <c r="N15" s="25">
        <f>Calculadora!$D$12*(1+(Calculadora!$D$16-Calculadora!$D$17))^A15</f>
        <v>23817.79599</v>
      </c>
      <c r="O15" s="25">
        <f>N15-Calculadora!$D$12</f>
        <v>13817.79599</v>
      </c>
      <c r="P15" s="25">
        <f>O15*Calculadora!$D$18</f>
        <v>2901.737158</v>
      </c>
      <c r="Q15" s="25">
        <f t="shared" si="4"/>
        <v>10916.05883</v>
      </c>
    </row>
    <row r="16">
      <c r="A16" s="24">
        <f t="shared" si="5"/>
        <v>13</v>
      </c>
      <c r="B16" s="25">
        <f t="shared" si="6"/>
        <v>58039.0696</v>
      </c>
      <c r="C16" s="25">
        <f>B16*Calculadora!$D$7</f>
        <v>2031.367436</v>
      </c>
      <c r="D16" s="25">
        <f>MAX(0,B16-MIN(Calculadora!$H$6-C16,B16))</f>
        <v>51627.10782</v>
      </c>
      <c r="F16" s="25">
        <f t="shared" si="7"/>
        <v>41390.3876</v>
      </c>
      <c r="G16" s="25">
        <f t="shared" si="8"/>
        <v>42928.38302</v>
      </c>
      <c r="H16" s="25">
        <f>G16*Calculadora!$D$7</f>
        <v>1502.493406</v>
      </c>
      <c r="I16" s="25">
        <f>IF(Calculadora!$D$13="Reducir plazo",Calculadora!$H$6,Calculadora!$H$7)</f>
        <v>8443.329214</v>
      </c>
      <c r="J16" s="25">
        <f t="shared" si="1"/>
        <v>6940.835808</v>
      </c>
      <c r="K16" s="25">
        <f t="shared" si="2"/>
        <v>35987.54722</v>
      </c>
      <c r="L16" s="25">
        <f t="shared" si="9"/>
        <v>35750.827</v>
      </c>
      <c r="M16" s="25">
        <f t="shared" si="3"/>
        <v>5639.560604</v>
      </c>
      <c r="N16" s="25">
        <f>Calculadora!$D$12*(1+(Calculadora!$D$16-Calculadora!$D$17))^A16</f>
        <v>25604.13069</v>
      </c>
      <c r="O16" s="25">
        <f>N16-Calculadora!$D$12</f>
        <v>15604.13069</v>
      </c>
      <c r="P16" s="25">
        <f>O16*Calculadora!$D$18</f>
        <v>3276.867445</v>
      </c>
      <c r="Q16" s="25">
        <f t="shared" si="4"/>
        <v>12327.26324</v>
      </c>
    </row>
    <row r="17">
      <c r="A17" s="24">
        <f t="shared" si="5"/>
        <v>14</v>
      </c>
      <c r="B17" s="25">
        <f t="shared" si="6"/>
        <v>51627.10782</v>
      </c>
      <c r="C17" s="25">
        <f>B17*Calculadora!$D$7</f>
        <v>1806.948774</v>
      </c>
      <c r="D17" s="25">
        <f>MAX(0,B17-MIN(Calculadora!$H$6-C17,B17))</f>
        <v>44990.72738</v>
      </c>
      <c r="F17" s="25">
        <f t="shared" si="7"/>
        <v>43197.33638</v>
      </c>
      <c r="G17" s="25">
        <f t="shared" si="8"/>
        <v>35987.54722</v>
      </c>
      <c r="H17" s="25">
        <f>G17*Calculadora!$D$7</f>
        <v>1259.564153</v>
      </c>
      <c r="I17" s="25">
        <f>IF(Calculadora!$D$13="Reducir plazo",Calculadora!$H$6,Calculadora!$H$7)</f>
        <v>8443.329214</v>
      </c>
      <c r="J17" s="25">
        <f t="shared" si="1"/>
        <v>7183.765061</v>
      </c>
      <c r="K17" s="25">
        <f t="shared" si="2"/>
        <v>28803.78216</v>
      </c>
      <c r="L17" s="25">
        <f t="shared" si="9"/>
        <v>37010.39115</v>
      </c>
      <c r="M17" s="25">
        <f t="shared" si="3"/>
        <v>6186.945225</v>
      </c>
      <c r="N17" s="25">
        <f>Calculadora!$D$12*(1+(Calculadora!$D$16-Calculadora!$D$17))^A17</f>
        <v>27524.44049</v>
      </c>
      <c r="O17" s="25">
        <f>N17-Calculadora!$D$12</f>
        <v>17524.44049</v>
      </c>
      <c r="P17" s="25">
        <f>O17*Calculadora!$D$18</f>
        <v>3680.132503</v>
      </c>
      <c r="Q17" s="25">
        <f t="shared" si="4"/>
        <v>13844.30799</v>
      </c>
    </row>
    <row r="18">
      <c r="A18" s="24">
        <f t="shared" si="5"/>
        <v>15</v>
      </c>
      <c r="B18" s="25">
        <f t="shared" si="6"/>
        <v>44990.72738</v>
      </c>
      <c r="C18" s="25">
        <f>B18*Calculadora!$D$7</f>
        <v>1574.675458</v>
      </c>
      <c r="D18" s="25">
        <f>MAX(0,B18-MIN(Calculadora!$H$6-C18,B18))</f>
        <v>38122.07362</v>
      </c>
      <c r="F18" s="25">
        <f t="shared" si="7"/>
        <v>44772.01183</v>
      </c>
      <c r="G18" s="25">
        <f t="shared" si="8"/>
        <v>28803.78216</v>
      </c>
      <c r="H18" s="25">
        <f>G18*Calculadora!$D$7</f>
        <v>1008.132375</v>
      </c>
      <c r="I18" s="25">
        <f>IF(Calculadora!$D$13="Reducir plazo",Calculadora!$H$6,Calculadora!$H$7)</f>
        <v>8443.329214</v>
      </c>
      <c r="J18" s="25">
        <f t="shared" si="1"/>
        <v>7435.196839</v>
      </c>
      <c r="K18" s="25">
        <f t="shared" si="2"/>
        <v>21368.58532</v>
      </c>
      <c r="L18" s="25">
        <f t="shared" si="9"/>
        <v>38018.52353</v>
      </c>
      <c r="M18" s="25">
        <f t="shared" si="3"/>
        <v>6753.488308</v>
      </c>
      <c r="N18" s="25">
        <f>Calculadora!$D$12*(1+(Calculadora!$D$16-Calculadora!$D$17))^A18</f>
        <v>29588.77353</v>
      </c>
      <c r="O18" s="25">
        <f>N18-Calculadora!$D$12</f>
        <v>19588.77353</v>
      </c>
      <c r="P18" s="25">
        <f>O18*Calculadora!$D$18</f>
        <v>4113.642441</v>
      </c>
      <c r="Q18" s="25">
        <f t="shared" si="4"/>
        <v>15475.13109</v>
      </c>
    </row>
    <row r="19">
      <c r="A19" s="24">
        <f t="shared" si="5"/>
        <v>16</v>
      </c>
      <c r="B19" s="25">
        <f t="shared" si="6"/>
        <v>38122.07362</v>
      </c>
      <c r="C19" s="25">
        <f>B19*Calculadora!$D$7</f>
        <v>1334.272577</v>
      </c>
      <c r="D19" s="25">
        <f>MAX(0,B19-MIN(Calculadora!$H$6-C19,B19))</f>
        <v>31013.01699</v>
      </c>
      <c r="F19" s="25">
        <f t="shared" si="7"/>
        <v>46106.28441</v>
      </c>
      <c r="G19" s="25">
        <f t="shared" si="8"/>
        <v>21368.58532</v>
      </c>
      <c r="H19" s="25">
        <f>G19*Calculadora!$D$7</f>
        <v>747.9004861</v>
      </c>
      <c r="I19" s="25">
        <f>IF(Calculadora!$D$13="Reducir plazo",Calculadora!$H$6,Calculadora!$H$7)</f>
        <v>8443.329214</v>
      </c>
      <c r="J19" s="25">
        <f t="shared" si="1"/>
        <v>7695.428728</v>
      </c>
      <c r="K19" s="25">
        <f t="shared" si="2"/>
        <v>13673.15659</v>
      </c>
      <c r="L19" s="25">
        <f t="shared" si="9"/>
        <v>38766.42401</v>
      </c>
      <c r="M19" s="25">
        <f t="shared" si="3"/>
        <v>7339.860398</v>
      </c>
      <c r="N19" s="25">
        <f>Calculadora!$D$12*(1+(Calculadora!$D$16-Calculadora!$D$17))^A19</f>
        <v>31807.93154</v>
      </c>
      <c r="O19" s="25">
        <f>N19-Calculadora!$D$12</f>
        <v>21807.93154</v>
      </c>
      <c r="P19" s="25">
        <f>O19*Calculadora!$D$18</f>
        <v>4579.665624</v>
      </c>
      <c r="Q19" s="25">
        <f t="shared" si="4"/>
        <v>17228.26592</v>
      </c>
    </row>
    <row r="20">
      <c r="A20" s="24">
        <f t="shared" si="5"/>
        <v>17</v>
      </c>
      <c r="B20" s="25">
        <f t="shared" si="6"/>
        <v>31013.01699</v>
      </c>
      <c r="C20" s="25">
        <f>B20*Calculadora!$D$7</f>
        <v>1085.455595</v>
      </c>
      <c r="D20" s="25">
        <f>MAX(0,B20-MIN(Calculadora!$H$6-C20,B20))</f>
        <v>23655.14337</v>
      </c>
      <c r="F20" s="25">
        <f t="shared" si="7"/>
        <v>47191.74001</v>
      </c>
      <c r="G20" s="25">
        <f t="shared" si="8"/>
        <v>13673.15659</v>
      </c>
      <c r="H20" s="25">
        <f>G20*Calculadora!$D$7</f>
        <v>478.5604806</v>
      </c>
      <c r="I20" s="25">
        <f>IF(Calculadora!$D$13="Reducir plazo",Calculadora!$H$6,Calculadora!$H$7)</f>
        <v>8443.329214</v>
      </c>
      <c r="J20" s="25">
        <f t="shared" si="1"/>
        <v>7964.768733</v>
      </c>
      <c r="K20" s="25">
        <f t="shared" si="2"/>
        <v>5708.387856</v>
      </c>
      <c r="L20" s="25">
        <f t="shared" si="9"/>
        <v>39244.98449</v>
      </c>
      <c r="M20" s="25">
        <f t="shared" si="3"/>
        <v>7946.755512</v>
      </c>
      <c r="N20" s="25">
        <f>Calculadora!$D$12*(1+(Calculadora!$D$16-Calculadora!$D$17))^A20</f>
        <v>34193.52641</v>
      </c>
      <c r="O20" s="25">
        <f>N20-Calculadora!$D$12</f>
        <v>24193.52641</v>
      </c>
      <c r="P20" s="25">
        <f>O20*Calculadora!$D$18</f>
        <v>5080.640546</v>
      </c>
      <c r="Q20" s="25">
        <f t="shared" si="4"/>
        <v>19112.88586</v>
      </c>
    </row>
    <row r="21" ht="15.75" customHeight="1">
      <c r="A21" s="24">
        <f t="shared" si="5"/>
        <v>18</v>
      </c>
      <c r="B21" s="25">
        <f t="shared" si="6"/>
        <v>23655.14337</v>
      </c>
      <c r="C21" s="25">
        <f>B21*Calculadora!$D$7</f>
        <v>827.9300179</v>
      </c>
      <c r="D21" s="25">
        <f>MAX(0,B21-MIN(Calculadora!$H$6-C21,B21))</f>
        <v>16039.74417</v>
      </c>
      <c r="F21" s="25">
        <f t="shared" si="7"/>
        <v>48019.67002</v>
      </c>
      <c r="G21" s="25">
        <f t="shared" si="8"/>
        <v>5708.387856</v>
      </c>
      <c r="H21" s="25">
        <f>G21*Calculadora!$D$7</f>
        <v>199.7935749</v>
      </c>
      <c r="I21" s="25">
        <f>IF(Calculadora!$D$13="Reducir plazo",Calculadora!$H$6,Calculadora!$H$7)</f>
        <v>8443.329214</v>
      </c>
      <c r="J21" s="25">
        <f t="shared" si="1"/>
        <v>5708.387856</v>
      </c>
      <c r="K21" s="25">
        <f t="shared" si="2"/>
        <v>0</v>
      </c>
      <c r="L21" s="25">
        <f t="shared" si="9"/>
        <v>39444.77807</v>
      </c>
      <c r="M21" s="25">
        <f t="shared" si="3"/>
        <v>8574.891955</v>
      </c>
      <c r="N21" s="25">
        <f>Calculadora!$D$12*(1+(Calculadora!$D$16-Calculadora!$D$17))^A21</f>
        <v>36758.04089</v>
      </c>
      <c r="O21" s="25">
        <f>N21-Calculadora!$D$12</f>
        <v>26758.04089</v>
      </c>
      <c r="P21" s="25">
        <f>O21*Calculadora!$D$18</f>
        <v>5619.188587</v>
      </c>
      <c r="Q21" s="25">
        <f t="shared" si="4"/>
        <v>21138.8523</v>
      </c>
    </row>
    <row r="22" ht="15.75" customHeight="1">
      <c r="A22" s="24">
        <f t="shared" si="5"/>
        <v>19</v>
      </c>
      <c r="B22" s="25">
        <f t="shared" si="6"/>
        <v>16039.74417</v>
      </c>
      <c r="C22" s="25">
        <f>B22*Calculadora!$D$7</f>
        <v>561.391046</v>
      </c>
      <c r="D22" s="25">
        <f>MAX(0,B22-MIN(Calculadora!$H$6-C22,B22))</f>
        <v>8157.806004</v>
      </c>
      <c r="F22" s="25">
        <f t="shared" si="7"/>
        <v>48581.06107</v>
      </c>
      <c r="G22" s="25">
        <f t="shared" si="8"/>
        <v>0</v>
      </c>
      <c r="H22" s="25">
        <f>G22*Calculadora!$D$7</f>
        <v>0</v>
      </c>
      <c r="I22" s="25">
        <f>IF(Calculadora!$D$13="Reducir plazo",Calculadora!$H$6,Calculadora!$H$7)</f>
        <v>8443.329214</v>
      </c>
      <c r="J22" s="25">
        <f t="shared" si="1"/>
        <v>0</v>
      </c>
      <c r="K22" s="25">
        <f t="shared" si="2"/>
        <v>0</v>
      </c>
      <c r="L22" s="25">
        <f t="shared" si="9"/>
        <v>39444.77807</v>
      </c>
      <c r="M22" s="25">
        <f t="shared" si="3"/>
        <v>9136.283001</v>
      </c>
      <c r="N22" s="25">
        <f>Calculadora!$D$12*(1+(Calculadora!$D$16-Calculadora!$D$17))^A22</f>
        <v>39514.89396</v>
      </c>
      <c r="O22" s="25">
        <f>N22-Calculadora!$D$12</f>
        <v>29514.89396</v>
      </c>
      <c r="P22" s="25">
        <f>O22*Calculadora!$D$18</f>
        <v>6198.127731</v>
      </c>
      <c r="Q22" s="25">
        <f t="shared" si="4"/>
        <v>23316.76623</v>
      </c>
    </row>
    <row r="23" ht="15.75" customHeight="1">
      <c r="A23" s="24">
        <f t="shared" si="5"/>
        <v>20</v>
      </c>
      <c r="B23" s="25">
        <f t="shared" si="6"/>
        <v>8157.806004</v>
      </c>
      <c r="C23" s="25">
        <f>B23*Calculadora!$D$7</f>
        <v>285.5232101</v>
      </c>
      <c r="D23" s="25">
        <f>MAX(0,B23-MIN(Calculadora!$H$6-C23,B23))</f>
        <v>0</v>
      </c>
      <c r="F23" s="25">
        <f t="shared" si="7"/>
        <v>48866.58428</v>
      </c>
      <c r="G23" s="25">
        <f t="shared" si="8"/>
        <v>0</v>
      </c>
      <c r="H23" s="25">
        <f>G23*Calculadora!$D$7</f>
        <v>0</v>
      </c>
      <c r="I23" s="25">
        <f>IF(Calculadora!$D$13="Reducir plazo",Calculadora!$H$6,Calculadora!$H$7)</f>
        <v>8443.329214</v>
      </c>
      <c r="J23" s="25">
        <f t="shared" si="1"/>
        <v>0</v>
      </c>
      <c r="K23" s="25">
        <f t="shared" si="2"/>
        <v>0</v>
      </c>
      <c r="L23" s="25">
        <f t="shared" si="9"/>
        <v>39444.77807</v>
      </c>
      <c r="M23" s="25">
        <f t="shared" si="3"/>
        <v>9421.806211</v>
      </c>
      <c r="N23" s="25">
        <f>Calculadora!$D$12*(1+(Calculadora!$D$16-Calculadora!$D$17))^A23</f>
        <v>42478.511</v>
      </c>
      <c r="O23" s="25">
        <f>N23-Calculadora!$D$12</f>
        <v>32478.511</v>
      </c>
      <c r="P23" s="25">
        <f>O23*Calculadora!$D$18</f>
        <v>6820.487311</v>
      </c>
      <c r="Q23" s="25">
        <f t="shared" si="4"/>
        <v>25658.02369</v>
      </c>
    </row>
    <row r="24" ht="15.75" customHeight="1">
      <c r="A24" s="24">
        <f t="shared" si="5"/>
        <v>21</v>
      </c>
      <c r="B24" s="25">
        <f t="shared" si="6"/>
        <v>0</v>
      </c>
      <c r="C24" s="25">
        <f>B24*Calculadora!$D$7</f>
        <v>0</v>
      </c>
      <c r="D24" s="25">
        <f>MAX(0,B24-MIN(Calculadora!$H$6-C24,B24))</f>
        <v>0</v>
      </c>
      <c r="F24" s="25">
        <f t="shared" si="7"/>
        <v>48866.58428</v>
      </c>
      <c r="G24" s="25">
        <f t="shared" si="8"/>
        <v>0</v>
      </c>
      <c r="H24" s="25">
        <f>G24*Calculadora!$D$7</f>
        <v>0</v>
      </c>
      <c r="I24" s="25">
        <f>IF(Calculadora!$D$13="Reducir plazo",Calculadora!$H$6,Calculadora!$H$7)</f>
        <v>8443.329214</v>
      </c>
      <c r="J24" s="25">
        <f t="shared" si="1"/>
        <v>0</v>
      </c>
      <c r="K24" s="25">
        <f t="shared" si="2"/>
        <v>0</v>
      </c>
      <c r="L24" s="25">
        <f t="shared" si="9"/>
        <v>39444.77807</v>
      </c>
      <c r="M24" s="25">
        <f t="shared" si="3"/>
        <v>9421.806211</v>
      </c>
      <c r="N24" s="25">
        <f>Calculadora!$D$12*(1+(Calculadora!$D$16-Calculadora!$D$17))^A24</f>
        <v>45664.39933</v>
      </c>
      <c r="O24" s="25">
        <f>N24-Calculadora!$D$12</f>
        <v>35664.39933</v>
      </c>
      <c r="P24" s="25">
        <f>O24*Calculadora!$D$18</f>
        <v>7489.523859</v>
      </c>
      <c r="Q24" s="25">
        <f t="shared" si="4"/>
        <v>28174.87547</v>
      </c>
    </row>
    <row r="25" ht="15.75" customHeight="1">
      <c r="A25" s="24">
        <f t="shared" si="5"/>
        <v>22</v>
      </c>
      <c r="B25" s="25">
        <f t="shared" si="6"/>
        <v>0</v>
      </c>
      <c r="C25" s="25">
        <f>B25*Calculadora!$D$7</f>
        <v>0</v>
      </c>
      <c r="D25" s="25">
        <f>MAX(0,B25-MIN(Calculadora!$H$6-C25,B25))</f>
        <v>0</v>
      </c>
      <c r="F25" s="25">
        <f t="shared" si="7"/>
        <v>48866.58428</v>
      </c>
      <c r="G25" s="25">
        <f t="shared" si="8"/>
        <v>0</v>
      </c>
      <c r="H25" s="25">
        <f>G25*Calculadora!$D$7</f>
        <v>0</v>
      </c>
      <c r="I25" s="25">
        <f>IF(Calculadora!$D$13="Reducir plazo",Calculadora!$H$6,Calculadora!$H$7)</f>
        <v>8443.329214</v>
      </c>
      <c r="J25" s="25">
        <f t="shared" si="1"/>
        <v>0</v>
      </c>
      <c r="K25" s="25">
        <f t="shared" si="2"/>
        <v>0</v>
      </c>
      <c r="L25" s="25">
        <f t="shared" si="9"/>
        <v>39444.77807</v>
      </c>
      <c r="M25" s="25">
        <f t="shared" si="3"/>
        <v>9421.806211</v>
      </c>
      <c r="N25" s="25">
        <f>Calculadora!$D$12*(1+(Calculadora!$D$16-Calculadora!$D$17))^A25</f>
        <v>49089.22928</v>
      </c>
      <c r="O25" s="25">
        <f>N25-Calculadora!$D$12</f>
        <v>39089.22928</v>
      </c>
      <c r="P25" s="25">
        <f>O25*Calculadora!$D$18</f>
        <v>8208.738148</v>
      </c>
      <c r="Q25" s="25">
        <f t="shared" si="4"/>
        <v>30880.49113</v>
      </c>
    </row>
    <row r="26" ht="15.75" customHeight="1">
      <c r="A26" s="24">
        <f t="shared" si="5"/>
        <v>23</v>
      </c>
      <c r="B26" s="25">
        <f t="shared" si="6"/>
        <v>0</v>
      </c>
      <c r="C26" s="25">
        <f>B26*Calculadora!$D$7</f>
        <v>0</v>
      </c>
      <c r="D26" s="25">
        <f>MAX(0,B26-MIN(Calculadora!$H$6-C26,B26))</f>
        <v>0</v>
      </c>
      <c r="F26" s="25">
        <f t="shared" si="7"/>
        <v>48866.58428</v>
      </c>
      <c r="G26" s="25">
        <f t="shared" si="8"/>
        <v>0</v>
      </c>
      <c r="H26" s="25">
        <f>G26*Calculadora!$D$7</f>
        <v>0</v>
      </c>
      <c r="I26" s="25">
        <f>IF(Calculadora!$D$13="Reducir plazo",Calculadora!$H$6,Calculadora!$H$7)</f>
        <v>8443.329214</v>
      </c>
      <c r="J26" s="25">
        <f t="shared" si="1"/>
        <v>0</v>
      </c>
      <c r="K26" s="25">
        <f t="shared" si="2"/>
        <v>0</v>
      </c>
      <c r="L26" s="25">
        <f t="shared" si="9"/>
        <v>39444.77807</v>
      </c>
      <c r="M26" s="25">
        <f t="shared" si="3"/>
        <v>9421.806211</v>
      </c>
      <c r="N26" s="25">
        <f>Calculadora!$D$12*(1+(Calculadora!$D$16-Calculadora!$D$17))^A26</f>
        <v>52770.92147</v>
      </c>
      <c r="O26" s="25">
        <f>N26-Calculadora!$D$12</f>
        <v>42770.92147</v>
      </c>
      <c r="P26" s="25">
        <f>O26*Calculadora!$D$18</f>
        <v>8981.893509</v>
      </c>
      <c r="Q26" s="25">
        <f t="shared" si="4"/>
        <v>33789.02796</v>
      </c>
    </row>
    <row r="27" ht="15.75" customHeight="1">
      <c r="A27" s="24">
        <f t="shared" si="5"/>
        <v>24</v>
      </c>
      <c r="B27" s="25">
        <f t="shared" si="6"/>
        <v>0</v>
      </c>
      <c r="C27" s="25">
        <f>B27*Calculadora!$D$7</f>
        <v>0</v>
      </c>
      <c r="D27" s="25">
        <f>MAX(0,B27-MIN(Calculadora!$H$6-C27,B27))</f>
        <v>0</v>
      </c>
      <c r="F27" s="25">
        <f t="shared" si="7"/>
        <v>48866.58428</v>
      </c>
      <c r="G27" s="25">
        <f t="shared" si="8"/>
        <v>0</v>
      </c>
      <c r="H27" s="25">
        <f>G27*Calculadora!$D$7</f>
        <v>0</v>
      </c>
      <c r="I27" s="25">
        <f>IF(Calculadora!$D$13="Reducir plazo",Calculadora!$H$6,Calculadora!$H$7)</f>
        <v>8443.329214</v>
      </c>
      <c r="J27" s="25">
        <f t="shared" si="1"/>
        <v>0</v>
      </c>
      <c r="K27" s="25">
        <f t="shared" si="2"/>
        <v>0</v>
      </c>
      <c r="L27" s="25">
        <f t="shared" si="9"/>
        <v>39444.77807</v>
      </c>
      <c r="M27" s="25">
        <f t="shared" si="3"/>
        <v>9421.806211</v>
      </c>
      <c r="N27" s="25">
        <f>Calculadora!$D$12*(1+(Calculadora!$D$16-Calculadora!$D$17))^A27</f>
        <v>56728.74058</v>
      </c>
      <c r="O27" s="25">
        <f>N27-Calculadora!$D$12</f>
        <v>46728.74058</v>
      </c>
      <c r="P27" s="25">
        <f>O27*Calculadora!$D$18</f>
        <v>9813.035523</v>
      </c>
      <c r="Q27" s="25">
        <f t="shared" si="4"/>
        <v>36915.70506</v>
      </c>
    </row>
    <row r="28" ht="15.75" customHeight="1">
      <c r="A28" s="24">
        <f t="shared" si="5"/>
        <v>25</v>
      </c>
      <c r="B28" s="25">
        <f t="shared" si="6"/>
        <v>0</v>
      </c>
      <c r="C28" s="25">
        <f>B28*Calculadora!$D$7</f>
        <v>0</v>
      </c>
      <c r="D28" s="25">
        <f>MAX(0,B28-MIN(Calculadora!$H$6-C28,B28))</f>
        <v>0</v>
      </c>
      <c r="F28" s="25">
        <f t="shared" si="7"/>
        <v>48866.58428</v>
      </c>
      <c r="G28" s="25">
        <f t="shared" si="8"/>
        <v>0</v>
      </c>
      <c r="H28" s="25">
        <f>G28*Calculadora!$D$7</f>
        <v>0</v>
      </c>
      <c r="I28" s="25">
        <f>IF(Calculadora!$D$13="Reducir plazo",Calculadora!$H$6,Calculadora!$H$7)</f>
        <v>8443.329214</v>
      </c>
      <c r="J28" s="25">
        <f t="shared" si="1"/>
        <v>0</v>
      </c>
      <c r="K28" s="25">
        <f t="shared" si="2"/>
        <v>0</v>
      </c>
      <c r="L28" s="25">
        <f t="shared" si="9"/>
        <v>39444.77807</v>
      </c>
      <c r="M28" s="25">
        <f t="shared" si="3"/>
        <v>9421.806211</v>
      </c>
      <c r="N28" s="25">
        <f>Calculadora!$D$12*(1+(Calculadora!$D$16-Calculadora!$D$17))^A28</f>
        <v>60983.39613</v>
      </c>
      <c r="O28" s="25">
        <f>N28-Calculadora!$D$12</f>
        <v>50983.39613</v>
      </c>
      <c r="P28" s="25">
        <f>O28*Calculadora!$D$18</f>
        <v>10706.51319</v>
      </c>
      <c r="Q28" s="25">
        <f t="shared" si="4"/>
        <v>40276.88294</v>
      </c>
    </row>
    <row r="29" ht="15.75" customHeight="1">
      <c r="A29" s="24">
        <f t="shared" si="5"/>
        <v>26</v>
      </c>
      <c r="B29" s="25">
        <f t="shared" si="6"/>
        <v>0</v>
      </c>
      <c r="C29" s="25">
        <f>B29*Calculadora!$D$7</f>
        <v>0</v>
      </c>
      <c r="D29" s="25">
        <f>MAX(0,B29-MIN(Calculadora!$H$6-C29,B29))</f>
        <v>0</v>
      </c>
      <c r="F29" s="25">
        <f t="shared" si="7"/>
        <v>48866.58428</v>
      </c>
      <c r="G29" s="25">
        <f t="shared" si="8"/>
        <v>0</v>
      </c>
      <c r="H29" s="25">
        <f>G29*Calculadora!$D$7</f>
        <v>0</v>
      </c>
      <c r="I29" s="25">
        <f>IF(Calculadora!$D$13="Reducir plazo",Calculadora!$H$6,Calculadora!$H$7)</f>
        <v>8443.329214</v>
      </c>
      <c r="J29" s="25">
        <f t="shared" si="1"/>
        <v>0</v>
      </c>
      <c r="K29" s="25">
        <f t="shared" si="2"/>
        <v>0</v>
      </c>
      <c r="L29" s="25">
        <f t="shared" si="9"/>
        <v>39444.77807</v>
      </c>
      <c r="M29" s="25">
        <f t="shared" si="3"/>
        <v>9421.806211</v>
      </c>
      <c r="N29" s="25">
        <f>Calculadora!$D$12*(1+(Calculadora!$D$16-Calculadora!$D$17))^A29</f>
        <v>65557.15084</v>
      </c>
      <c r="O29" s="25">
        <f>N29-Calculadora!$D$12</f>
        <v>55557.15084</v>
      </c>
      <c r="P29" s="25">
        <f>O29*Calculadora!$D$18</f>
        <v>11667.00168</v>
      </c>
      <c r="Q29" s="25">
        <f t="shared" si="4"/>
        <v>43890.14916</v>
      </c>
    </row>
    <row r="30" ht="15.75" customHeight="1">
      <c r="A30" s="24">
        <f t="shared" si="5"/>
        <v>27</v>
      </c>
      <c r="B30" s="25">
        <f t="shared" si="6"/>
        <v>0</v>
      </c>
      <c r="C30" s="25">
        <f>B30*Calculadora!$D$7</f>
        <v>0</v>
      </c>
      <c r="D30" s="25">
        <f>MAX(0,B30-MIN(Calculadora!$H$6-C30,B30))</f>
        <v>0</v>
      </c>
      <c r="F30" s="25">
        <f t="shared" si="7"/>
        <v>48866.58428</v>
      </c>
      <c r="G30" s="25">
        <f t="shared" si="8"/>
        <v>0</v>
      </c>
      <c r="H30" s="25">
        <f>G30*Calculadora!$D$7</f>
        <v>0</v>
      </c>
      <c r="I30" s="25">
        <f>IF(Calculadora!$D$13="Reducir plazo",Calculadora!$H$6,Calculadora!$H$7)</f>
        <v>8443.329214</v>
      </c>
      <c r="J30" s="25">
        <f t="shared" si="1"/>
        <v>0</v>
      </c>
      <c r="K30" s="25">
        <f t="shared" si="2"/>
        <v>0</v>
      </c>
      <c r="L30" s="25">
        <f t="shared" si="9"/>
        <v>39444.77807</v>
      </c>
      <c r="M30" s="25">
        <f t="shared" si="3"/>
        <v>9421.806211</v>
      </c>
      <c r="N30" s="25">
        <f>Calculadora!$D$12*(1+(Calculadora!$D$16-Calculadora!$D$17))^A30</f>
        <v>70473.93715</v>
      </c>
      <c r="O30" s="25">
        <f>N30-Calculadora!$D$12</f>
        <v>60473.93715</v>
      </c>
      <c r="P30" s="25">
        <f>O30*Calculadora!$D$18</f>
        <v>12699.5268</v>
      </c>
      <c r="Q30" s="25">
        <f t="shared" si="4"/>
        <v>47774.41035</v>
      </c>
    </row>
    <row r="31" ht="15.75" customHeight="1">
      <c r="A31" s="24">
        <f t="shared" si="5"/>
        <v>28</v>
      </c>
      <c r="B31" s="25">
        <f t="shared" si="6"/>
        <v>0</v>
      </c>
      <c r="C31" s="25">
        <f>B31*Calculadora!$D$7</f>
        <v>0</v>
      </c>
      <c r="D31" s="25">
        <f>MAX(0,B31-MIN(Calculadora!$H$6-C31,B31))</f>
        <v>0</v>
      </c>
      <c r="F31" s="25">
        <f t="shared" si="7"/>
        <v>48866.58428</v>
      </c>
      <c r="G31" s="25">
        <f t="shared" si="8"/>
        <v>0</v>
      </c>
      <c r="H31" s="25">
        <f>G31*Calculadora!$D$7</f>
        <v>0</v>
      </c>
      <c r="I31" s="25">
        <f>IF(Calculadora!$D$13="Reducir plazo",Calculadora!$H$6,Calculadora!$H$7)</f>
        <v>8443.329214</v>
      </c>
      <c r="J31" s="25">
        <f t="shared" si="1"/>
        <v>0</v>
      </c>
      <c r="K31" s="25">
        <f t="shared" si="2"/>
        <v>0</v>
      </c>
      <c r="L31" s="25">
        <f t="shared" si="9"/>
        <v>39444.77807</v>
      </c>
      <c r="M31" s="25">
        <f t="shared" si="3"/>
        <v>9421.806211</v>
      </c>
      <c r="N31" s="25">
        <f>Calculadora!$D$12*(1+(Calculadora!$D$16-Calculadora!$D$17))^A31</f>
        <v>75759.48244</v>
      </c>
      <c r="O31" s="25">
        <f>N31-Calculadora!$D$12</f>
        <v>65759.48244</v>
      </c>
      <c r="P31" s="25">
        <f>O31*Calculadora!$D$18</f>
        <v>13809.49131</v>
      </c>
      <c r="Q31" s="25">
        <f t="shared" si="4"/>
        <v>51949.99112</v>
      </c>
    </row>
    <row r="32" ht="15.75" customHeight="1">
      <c r="A32" s="24">
        <f t="shared" si="5"/>
        <v>29</v>
      </c>
      <c r="B32" s="25">
        <f t="shared" si="6"/>
        <v>0</v>
      </c>
      <c r="C32" s="25">
        <f>B32*Calculadora!$D$7</f>
        <v>0</v>
      </c>
      <c r="D32" s="25">
        <f>MAX(0,B32-MIN(Calculadora!$H$6-C32,B32))</f>
        <v>0</v>
      </c>
      <c r="F32" s="25">
        <f t="shared" si="7"/>
        <v>48866.58428</v>
      </c>
      <c r="G32" s="25">
        <f t="shared" si="8"/>
        <v>0</v>
      </c>
      <c r="H32" s="25">
        <f>G32*Calculadora!$D$7</f>
        <v>0</v>
      </c>
      <c r="I32" s="25">
        <f>IF(Calculadora!$D$13="Reducir plazo",Calculadora!$H$6,Calculadora!$H$7)</f>
        <v>8443.329214</v>
      </c>
      <c r="J32" s="25">
        <f t="shared" si="1"/>
        <v>0</v>
      </c>
      <c r="K32" s="25">
        <f t="shared" si="2"/>
        <v>0</v>
      </c>
      <c r="L32" s="25">
        <f t="shared" si="9"/>
        <v>39444.77807</v>
      </c>
      <c r="M32" s="25">
        <f t="shared" si="3"/>
        <v>9421.806211</v>
      </c>
      <c r="N32" s="25">
        <f>Calculadora!$D$12*(1+(Calculadora!$D$16-Calculadora!$D$17))^A32</f>
        <v>81441.44362</v>
      </c>
      <c r="O32" s="25">
        <f>N32-Calculadora!$D$12</f>
        <v>71441.44362</v>
      </c>
      <c r="P32" s="25">
        <f>O32*Calculadora!$D$18</f>
        <v>15002.70316</v>
      </c>
      <c r="Q32" s="25">
        <f t="shared" si="4"/>
        <v>56438.74046</v>
      </c>
    </row>
    <row r="33" ht="15.75" customHeight="1">
      <c r="A33" s="24">
        <f t="shared" si="5"/>
        <v>30</v>
      </c>
      <c r="B33" s="25">
        <f t="shared" si="6"/>
        <v>0</v>
      </c>
      <c r="C33" s="25">
        <f>B33*Calculadora!$D$7</f>
        <v>0</v>
      </c>
      <c r="D33" s="25">
        <f>MAX(0,B33-MIN(Calculadora!$H$6-C33,B33))</f>
        <v>0</v>
      </c>
      <c r="F33" s="25">
        <f t="shared" si="7"/>
        <v>48866.58428</v>
      </c>
      <c r="G33" s="25">
        <f t="shared" si="8"/>
        <v>0</v>
      </c>
      <c r="H33" s="25">
        <f>G33*Calculadora!$D$7</f>
        <v>0</v>
      </c>
      <c r="I33" s="25">
        <f>IF(Calculadora!$D$13="Reducir plazo",Calculadora!$H$6,Calculadora!$H$7)</f>
        <v>8443.329214</v>
      </c>
      <c r="J33" s="25">
        <f t="shared" si="1"/>
        <v>0</v>
      </c>
      <c r="K33" s="25">
        <f t="shared" si="2"/>
        <v>0</v>
      </c>
      <c r="L33" s="25">
        <f t="shared" si="9"/>
        <v>39444.77807</v>
      </c>
      <c r="M33" s="25">
        <f t="shared" si="3"/>
        <v>9421.806211</v>
      </c>
      <c r="N33" s="25">
        <f>Calculadora!$D$12*(1+(Calculadora!$D$16-Calculadora!$D$17))^A33</f>
        <v>87549.55189</v>
      </c>
      <c r="O33" s="25">
        <f>N33-Calculadora!$D$12</f>
        <v>77549.55189</v>
      </c>
      <c r="P33" s="25">
        <f>O33*Calculadora!$D$18</f>
        <v>16285.4059</v>
      </c>
      <c r="Q33" s="25">
        <f t="shared" si="4"/>
        <v>61264.14599</v>
      </c>
    </row>
    <row r="34" ht="15.75" customHeight="1">
      <c r="A34" s="24">
        <f t="shared" si="5"/>
        <v>31</v>
      </c>
      <c r="B34" s="25">
        <f t="shared" si="6"/>
        <v>0</v>
      </c>
      <c r="C34" s="25">
        <f>B34*Calculadora!$D$7</f>
        <v>0</v>
      </c>
      <c r="D34" s="25">
        <f>MAX(0,B34-MIN(Calculadora!$H$6-C34,B34))</f>
        <v>0</v>
      </c>
      <c r="F34" s="25">
        <f t="shared" si="7"/>
        <v>48866.58428</v>
      </c>
      <c r="G34" s="25">
        <f t="shared" si="8"/>
        <v>0</v>
      </c>
      <c r="H34" s="25">
        <f>G34*Calculadora!$D$7</f>
        <v>0</v>
      </c>
      <c r="I34" s="25">
        <f>IF(Calculadora!$D$13="Reducir plazo",Calculadora!$H$6,Calculadora!$H$7)</f>
        <v>8443.329214</v>
      </c>
      <c r="J34" s="25">
        <f t="shared" si="1"/>
        <v>0</v>
      </c>
      <c r="K34" s="25">
        <f t="shared" si="2"/>
        <v>0</v>
      </c>
      <c r="L34" s="25">
        <f t="shared" si="9"/>
        <v>39444.77807</v>
      </c>
      <c r="M34" s="25">
        <f t="shared" si="3"/>
        <v>9421.806211</v>
      </c>
      <c r="N34" s="25">
        <f>Calculadora!$D$12*(1+(Calculadora!$D$16-Calculadora!$D$17))^A34</f>
        <v>94115.76828</v>
      </c>
      <c r="O34" s="25">
        <f>N34-Calculadora!$D$12</f>
        <v>84115.76828</v>
      </c>
      <c r="P34" s="25">
        <f>O34*Calculadora!$D$18</f>
        <v>17664.31134</v>
      </c>
      <c r="Q34" s="25">
        <f t="shared" si="4"/>
        <v>66451.45694</v>
      </c>
    </row>
    <row r="35" ht="15.75" customHeight="1">
      <c r="A35" s="24">
        <f t="shared" si="5"/>
        <v>32</v>
      </c>
      <c r="B35" s="25">
        <f t="shared" si="6"/>
        <v>0</v>
      </c>
      <c r="C35" s="25">
        <f>B35*Calculadora!$D$7</f>
        <v>0</v>
      </c>
      <c r="D35" s="25">
        <f>MAX(0,B35-MIN(Calculadora!$H$6-C35,B35))</f>
        <v>0</v>
      </c>
      <c r="F35" s="25">
        <f t="shared" si="7"/>
        <v>48866.58428</v>
      </c>
      <c r="G35" s="25">
        <f t="shared" si="8"/>
        <v>0</v>
      </c>
      <c r="H35" s="25">
        <f>G35*Calculadora!$D$7</f>
        <v>0</v>
      </c>
      <c r="I35" s="25">
        <f>IF(Calculadora!$D$13="Reducir plazo",Calculadora!$H$6,Calculadora!$H$7)</f>
        <v>8443.329214</v>
      </c>
      <c r="J35" s="25">
        <f t="shared" si="1"/>
        <v>0</v>
      </c>
      <c r="K35" s="25">
        <f t="shared" si="2"/>
        <v>0</v>
      </c>
      <c r="L35" s="25">
        <f t="shared" si="9"/>
        <v>39444.77807</v>
      </c>
      <c r="M35" s="25">
        <f t="shared" si="3"/>
        <v>9421.806211</v>
      </c>
      <c r="N35" s="25">
        <f>Calculadora!$D$12*(1+(Calculadora!$D$16-Calculadora!$D$17))^A35</f>
        <v>101174.4509</v>
      </c>
      <c r="O35" s="25">
        <f>N35-Calculadora!$D$12</f>
        <v>91174.4509</v>
      </c>
      <c r="P35" s="25">
        <f>O35*Calculadora!$D$18</f>
        <v>19146.63469</v>
      </c>
      <c r="Q35" s="25">
        <f t="shared" si="4"/>
        <v>72027.81621</v>
      </c>
    </row>
    <row r="36" ht="15.75" customHeight="1">
      <c r="A36" s="24">
        <f t="shared" si="5"/>
        <v>33</v>
      </c>
      <c r="B36" s="25">
        <f t="shared" si="6"/>
        <v>0</v>
      </c>
      <c r="C36" s="25">
        <f>B36*Calculadora!$D$7</f>
        <v>0</v>
      </c>
      <c r="D36" s="25">
        <f>MAX(0,B36-MIN(Calculadora!$H$6-C36,B36))</f>
        <v>0</v>
      </c>
      <c r="F36" s="25">
        <f t="shared" si="7"/>
        <v>48866.58428</v>
      </c>
      <c r="G36" s="25">
        <f t="shared" si="8"/>
        <v>0</v>
      </c>
      <c r="H36" s="25">
        <f>G36*Calculadora!$D$7</f>
        <v>0</v>
      </c>
      <c r="I36" s="25">
        <f>IF(Calculadora!$D$13="Reducir plazo",Calculadora!$H$6,Calculadora!$H$7)</f>
        <v>8443.329214</v>
      </c>
      <c r="J36" s="25">
        <f t="shared" si="1"/>
        <v>0</v>
      </c>
      <c r="K36" s="25">
        <f t="shared" si="2"/>
        <v>0</v>
      </c>
      <c r="L36" s="25">
        <f t="shared" si="9"/>
        <v>39444.77807</v>
      </c>
      <c r="M36" s="25">
        <f t="shared" si="3"/>
        <v>9421.806211</v>
      </c>
      <c r="N36" s="25">
        <f>Calculadora!$D$12*(1+(Calculadora!$D$16-Calculadora!$D$17))^A36</f>
        <v>108762.5347</v>
      </c>
      <c r="O36" s="25">
        <f>N36-Calculadora!$D$12</f>
        <v>98762.53472</v>
      </c>
      <c r="P36" s="25">
        <f>O36*Calculadora!$D$18</f>
        <v>20740.13229</v>
      </c>
      <c r="Q36" s="25">
        <f t="shared" si="4"/>
        <v>78022.40243</v>
      </c>
    </row>
    <row r="37" ht="15.75" customHeight="1">
      <c r="A37" s="24">
        <f t="shared" si="5"/>
        <v>34</v>
      </c>
      <c r="B37" s="25">
        <f t="shared" si="6"/>
        <v>0</v>
      </c>
      <c r="C37" s="25">
        <f>B37*Calculadora!$D$7</f>
        <v>0</v>
      </c>
      <c r="D37" s="25">
        <f>MAX(0,B37-MIN(Calculadora!$H$6-C37,B37))</f>
        <v>0</v>
      </c>
      <c r="F37" s="25">
        <f t="shared" si="7"/>
        <v>48866.58428</v>
      </c>
      <c r="G37" s="25">
        <f t="shared" si="8"/>
        <v>0</v>
      </c>
      <c r="H37" s="25">
        <f>G37*Calculadora!$D$7</f>
        <v>0</v>
      </c>
      <c r="I37" s="25">
        <f>IF(Calculadora!$D$13="Reducir plazo",Calculadora!$H$6,Calculadora!$H$7)</f>
        <v>8443.329214</v>
      </c>
      <c r="J37" s="25">
        <f t="shared" si="1"/>
        <v>0</v>
      </c>
      <c r="K37" s="25">
        <f t="shared" si="2"/>
        <v>0</v>
      </c>
      <c r="L37" s="25">
        <f t="shared" si="9"/>
        <v>39444.77807</v>
      </c>
      <c r="M37" s="25">
        <f t="shared" si="3"/>
        <v>9421.806211</v>
      </c>
      <c r="N37" s="25">
        <f>Calculadora!$D$12*(1+(Calculadora!$D$16-Calculadora!$D$17))^A37</f>
        <v>116919.7248</v>
      </c>
      <c r="O37" s="25">
        <f>N37-Calculadora!$D$12</f>
        <v>106919.7248</v>
      </c>
      <c r="P37" s="25">
        <f>O37*Calculadora!$D$18</f>
        <v>22453.14221</v>
      </c>
      <c r="Q37" s="25">
        <f t="shared" si="4"/>
        <v>84466.58261</v>
      </c>
    </row>
    <row r="38" ht="15.75" customHeight="1">
      <c r="A38" s="24">
        <f t="shared" si="5"/>
        <v>35</v>
      </c>
      <c r="B38" s="25">
        <f t="shared" si="6"/>
        <v>0</v>
      </c>
      <c r="C38" s="25">
        <f>B38*Calculadora!$D$7</f>
        <v>0</v>
      </c>
      <c r="D38" s="25">
        <f>MAX(0,B38-MIN(Calculadora!$H$6-C38,B38))</f>
        <v>0</v>
      </c>
      <c r="F38" s="25">
        <f t="shared" si="7"/>
        <v>48866.58428</v>
      </c>
      <c r="G38" s="25">
        <f t="shared" si="8"/>
        <v>0</v>
      </c>
      <c r="H38" s="25">
        <f>G38*Calculadora!$D$7</f>
        <v>0</v>
      </c>
      <c r="I38" s="25">
        <f>IF(Calculadora!$D$13="Reducir plazo",Calculadora!$H$6,Calculadora!$H$7)</f>
        <v>8443.329214</v>
      </c>
      <c r="J38" s="25">
        <f t="shared" si="1"/>
        <v>0</v>
      </c>
      <c r="K38" s="25">
        <f t="shared" si="2"/>
        <v>0</v>
      </c>
      <c r="L38" s="25">
        <f t="shared" si="9"/>
        <v>39444.77807</v>
      </c>
      <c r="M38" s="25">
        <f t="shared" si="3"/>
        <v>9421.806211</v>
      </c>
      <c r="N38" s="25">
        <f>Calculadora!$D$12*(1+(Calculadora!$D$16-Calculadora!$D$17))^A38</f>
        <v>125688.7042</v>
      </c>
      <c r="O38" s="25">
        <f>N38-Calculadora!$D$12</f>
        <v>115688.7042</v>
      </c>
      <c r="P38" s="25">
        <f>O38*Calculadora!$D$18</f>
        <v>24294.62788</v>
      </c>
      <c r="Q38" s="25">
        <f t="shared" si="4"/>
        <v>91394.07631</v>
      </c>
    </row>
    <row r="39" ht="15.75" customHeight="1">
      <c r="A39" s="24">
        <f t="shared" si="5"/>
        <v>36</v>
      </c>
      <c r="B39" s="25">
        <f t="shared" si="6"/>
        <v>0</v>
      </c>
      <c r="C39" s="25">
        <f>B39*Calculadora!$D$7</f>
        <v>0</v>
      </c>
      <c r="D39" s="25">
        <f>MAX(0,B39-MIN(Calculadora!$H$6-C39,B39))</f>
        <v>0</v>
      </c>
      <c r="F39" s="25">
        <f t="shared" si="7"/>
        <v>48866.58428</v>
      </c>
      <c r="G39" s="25">
        <f t="shared" si="8"/>
        <v>0</v>
      </c>
      <c r="H39" s="25">
        <f>G39*Calculadora!$D$7</f>
        <v>0</v>
      </c>
      <c r="I39" s="25">
        <f>IF(Calculadora!$D$13="Reducir plazo",Calculadora!$H$6,Calculadora!$H$7)</f>
        <v>8443.329214</v>
      </c>
      <c r="J39" s="25">
        <f t="shared" si="1"/>
        <v>0</v>
      </c>
      <c r="K39" s="25">
        <f t="shared" si="2"/>
        <v>0</v>
      </c>
      <c r="L39" s="25">
        <f t="shared" si="9"/>
        <v>39444.77807</v>
      </c>
      <c r="M39" s="25">
        <f t="shared" si="3"/>
        <v>9421.806211</v>
      </c>
      <c r="N39" s="25">
        <f>Calculadora!$D$12*(1+(Calculadora!$D$16-Calculadora!$D$17))^A39</f>
        <v>135115.357</v>
      </c>
      <c r="O39" s="25">
        <f>N39-Calculadora!$D$12</f>
        <v>125115.357</v>
      </c>
      <c r="P39" s="25">
        <f>O39*Calculadora!$D$18</f>
        <v>26274.22497</v>
      </c>
      <c r="Q39" s="25">
        <f t="shared" si="4"/>
        <v>98841.13203</v>
      </c>
    </row>
    <row r="40" ht="15.75" customHeight="1">
      <c r="A40" s="24">
        <f t="shared" si="5"/>
        <v>37</v>
      </c>
      <c r="B40" s="25">
        <f t="shared" si="6"/>
        <v>0</v>
      </c>
      <c r="C40" s="25">
        <f>B40*Calculadora!$D$7</f>
        <v>0</v>
      </c>
      <c r="D40" s="25">
        <f>MAX(0,B40-MIN(Calculadora!$H$6-C40,B40))</f>
        <v>0</v>
      </c>
      <c r="F40" s="25">
        <f t="shared" si="7"/>
        <v>48866.58428</v>
      </c>
      <c r="G40" s="25">
        <f t="shared" si="8"/>
        <v>0</v>
      </c>
      <c r="H40" s="25">
        <f>G40*Calculadora!$D$7</f>
        <v>0</v>
      </c>
      <c r="I40" s="25">
        <f>IF(Calculadora!$D$13="Reducir plazo",Calculadora!$H$6,Calculadora!$H$7)</f>
        <v>8443.329214</v>
      </c>
      <c r="J40" s="25">
        <f t="shared" si="1"/>
        <v>0</v>
      </c>
      <c r="K40" s="25">
        <f t="shared" si="2"/>
        <v>0</v>
      </c>
      <c r="L40" s="25">
        <f t="shared" si="9"/>
        <v>39444.77807</v>
      </c>
      <c r="M40" s="25">
        <f t="shared" si="3"/>
        <v>9421.806211</v>
      </c>
      <c r="N40" s="25">
        <f>Calculadora!$D$12*(1+(Calculadora!$D$16-Calculadora!$D$17))^A40</f>
        <v>145249.0088</v>
      </c>
      <c r="O40" s="25">
        <f>N40-Calculadora!$D$12</f>
        <v>135249.0088</v>
      </c>
      <c r="P40" s="25">
        <f>O40*Calculadora!$D$18</f>
        <v>28402.29184</v>
      </c>
      <c r="Q40" s="25">
        <f t="shared" si="4"/>
        <v>106846.7169</v>
      </c>
    </row>
    <row r="41" ht="15.75" customHeight="1">
      <c r="A41" s="24">
        <f t="shared" si="5"/>
        <v>38</v>
      </c>
      <c r="B41" s="25">
        <f t="shared" si="6"/>
        <v>0</v>
      </c>
      <c r="C41" s="25">
        <f>B41*Calculadora!$D$7</f>
        <v>0</v>
      </c>
      <c r="D41" s="25">
        <f>MAX(0,B41-MIN(Calculadora!$H$6-C41,B41))</f>
        <v>0</v>
      </c>
      <c r="F41" s="25">
        <f t="shared" si="7"/>
        <v>48866.58428</v>
      </c>
      <c r="G41" s="25">
        <f t="shared" si="8"/>
        <v>0</v>
      </c>
      <c r="H41" s="25">
        <f>G41*Calculadora!$D$7</f>
        <v>0</v>
      </c>
      <c r="I41" s="25">
        <f>IF(Calculadora!$D$13="Reducir plazo",Calculadora!$H$6,Calculadora!$H$7)</f>
        <v>8443.329214</v>
      </c>
      <c r="J41" s="25">
        <f t="shared" si="1"/>
        <v>0</v>
      </c>
      <c r="K41" s="25">
        <f t="shared" si="2"/>
        <v>0</v>
      </c>
      <c r="L41" s="25">
        <f t="shared" si="9"/>
        <v>39444.77807</v>
      </c>
      <c r="M41" s="25">
        <f t="shared" si="3"/>
        <v>9421.806211</v>
      </c>
      <c r="N41" s="25">
        <f>Calculadora!$D$12*(1+(Calculadora!$D$16-Calculadora!$D$17))^A41</f>
        <v>156142.6844</v>
      </c>
      <c r="O41" s="25">
        <f>N41-Calculadora!$D$12</f>
        <v>146142.6844</v>
      </c>
      <c r="P41" s="25">
        <f>O41*Calculadora!$D$18</f>
        <v>30689.96373</v>
      </c>
      <c r="Q41" s="25">
        <f t="shared" si="4"/>
        <v>115452.7207</v>
      </c>
    </row>
    <row r="42" ht="15.75" customHeight="1">
      <c r="A42" s="24">
        <f t="shared" si="5"/>
        <v>39</v>
      </c>
      <c r="B42" s="25">
        <f t="shared" si="6"/>
        <v>0</v>
      </c>
      <c r="C42" s="25">
        <f>B42*Calculadora!$D$7</f>
        <v>0</v>
      </c>
      <c r="D42" s="25">
        <f>MAX(0,B42-MIN(Calculadora!$H$6-C42,B42))</f>
        <v>0</v>
      </c>
      <c r="F42" s="25">
        <f t="shared" si="7"/>
        <v>48866.58428</v>
      </c>
      <c r="G42" s="25">
        <f t="shared" si="8"/>
        <v>0</v>
      </c>
      <c r="H42" s="25">
        <f>G42*Calculadora!$D$7</f>
        <v>0</v>
      </c>
      <c r="I42" s="25">
        <f>IF(Calculadora!$D$13="Reducir plazo",Calculadora!$H$6,Calculadora!$H$7)</f>
        <v>8443.329214</v>
      </c>
      <c r="J42" s="25">
        <f t="shared" si="1"/>
        <v>0</v>
      </c>
      <c r="K42" s="25">
        <f t="shared" si="2"/>
        <v>0</v>
      </c>
      <c r="L42" s="25">
        <f t="shared" si="9"/>
        <v>39444.77807</v>
      </c>
      <c r="M42" s="25">
        <f t="shared" si="3"/>
        <v>9421.806211</v>
      </c>
      <c r="N42" s="25">
        <f>Calculadora!$D$12*(1+(Calculadora!$D$16-Calculadora!$D$17))^A42</f>
        <v>167853.3858</v>
      </c>
      <c r="O42" s="25">
        <f>N42-Calculadora!$D$12</f>
        <v>157853.3858</v>
      </c>
      <c r="P42" s="25">
        <f>O42*Calculadora!$D$18</f>
        <v>33149.21101</v>
      </c>
      <c r="Q42" s="25">
        <f t="shared" si="4"/>
        <v>124704.1748</v>
      </c>
    </row>
    <row r="43" ht="15.75" customHeight="1">
      <c r="A43" s="24">
        <f t="shared" si="5"/>
        <v>40</v>
      </c>
      <c r="B43" s="25">
        <f t="shared" si="6"/>
        <v>0</v>
      </c>
      <c r="C43" s="25">
        <f>B43*Calculadora!$D$7</f>
        <v>0</v>
      </c>
      <c r="D43" s="25">
        <f>MAX(0,B43-MIN(Calculadora!$H$6-C43,B43))</f>
        <v>0</v>
      </c>
      <c r="F43" s="25">
        <f t="shared" si="7"/>
        <v>48866.58428</v>
      </c>
      <c r="G43" s="25">
        <f t="shared" si="8"/>
        <v>0</v>
      </c>
      <c r="H43" s="25">
        <f>G43*Calculadora!$D$7</f>
        <v>0</v>
      </c>
      <c r="I43" s="25">
        <f>IF(Calculadora!$D$13="Reducir plazo",Calculadora!$H$6,Calculadora!$H$7)</f>
        <v>8443.329214</v>
      </c>
      <c r="J43" s="25">
        <f t="shared" si="1"/>
        <v>0</v>
      </c>
      <c r="K43" s="25">
        <f t="shared" si="2"/>
        <v>0</v>
      </c>
      <c r="L43" s="25">
        <f t="shared" si="9"/>
        <v>39444.77807</v>
      </c>
      <c r="M43" s="25">
        <f t="shared" si="3"/>
        <v>9421.806211</v>
      </c>
      <c r="N43" s="25">
        <f>Calculadora!$D$12*(1+(Calculadora!$D$16-Calculadora!$D$17))^A43</f>
        <v>180442.3897</v>
      </c>
      <c r="O43" s="25">
        <f>N43-Calculadora!$D$12</f>
        <v>170442.3897</v>
      </c>
      <c r="P43" s="25">
        <f>O43*Calculadora!$D$18</f>
        <v>35792.90184</v>
      </c>
      <c r="Q43" s="25">
        <f t="shared" si="4"/>
        <v>134649.4879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Q1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100.0"/>
    <col customWidth="1" min="3" max="26" width="8.71"/>
  </cols>
  <sheetData>
    <row r="1" ht="25.5" customHeight="1">
      <c r="A1" s="1" t="s">
        <v>1</v>
      </c>
      <c r="B1" s="3"/>
    </row>
    <row r="3">
      <c r="B3" s="5" t="s">
        <v>3</v>
      </c>
    </row>
    <row r="4" ht="54.75" customHeight="1">
      <c r="B4" s="7" t="s">
        <v>5</v>
      </c>
    </row>
    <row r="6">
      <c r="B6" s="5" t="s">
        <v>7</v>
      </c>
    </row>
    <row r="7" ht="54.75" customHeight="1">
      <c r="B7" s="7" t="s">
        <v>9</v>
      </c>
    </row>
    <row r="9">
      <c r="B9" s="5" t="s">
        <v>10</v>
      </c>
    </row>
    <row r="10" ht="54.75" customHeight="1">
      <c r="B10" s="7" t="s">
        <v>11</v>
      </c>
    </row>
    <row r="12">
      <c r="B12" s="5" t="s">
        <v>12</v>
      </c>
    </row>
    <row r="13" ht="54.75" customHeight="1">
      <c r="B13" s="7" t="s">
        <v>13</v>
      </c>
    </row>
    <row r="15">
      <c r="B15" s="5" t="s">
        <v>14</v>
      </c>
    </row>
    <row r="16" ht="54.75" customHeight="1">
      <c r="B16" s="7" t="s">
        <v>15</v>
      </c>
    </row>
    <row r="18">
      <c r="B18" s="5" t="s">
        <v>17</v>
      </c>
    </row>
    <row r="19" ht="54.75" customHeight="1">
      <c r="B19" s="7" t="s">
        <v>18</v>
      </c>
    </row>
    <row r="21" ht="15.75" customHeight="1">
      <c r="B21" s="5" t="s">
        <v>19</v>
      </c>
    </row>
    <row r="22" ht="54.75" customHeight="1">
      <c r="B22" s="7" t="s">
        <v>20</v>
      </c>
    </row>
    <row r="23" ht="15.75" customHeight="1"/>
    <row r="24" ht="15.75" customHeight="1">
      <c r="B24" s="5" t="s">
        <v>21</v>
      </c>
    </row>
    <row r="25" ht="54.75" customHeight="1">
      <c r="B25" s="7" t="s">
        <v>22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2026-07-21T15:29:26Z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